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3.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4.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5.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6.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drawings/drawing7.xml" ContentType="application/vnd.openxmlformats-officedocument.drawing+xml"/>
  <Override PartName="/xl/charts/chart3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750" windowWidth="19815" windowHeight="8655" tabRatio="764" activeTab="1"/>
  </bookViews>
  <sheets>
    <sheet name="Data" sheetId="1" r:id="rId1"/>
    <sheet name="Indicator list" sheetId="31" r:id="rId2"/>
    <sheet name="1" sheetId="4" r:id="rId3"/>
    <sheet name="2" sheetId="5" r:id="rId4"/>
    <sheet name="3" sheetId="7" r:id="rId5"/>
    <sheet name="4" sheetId="8" r:id="rId6"/>
    <sheet name="5" sheetId="9" r:id="rId7"/>
    <sheet name="6" sheetId="10" r:id="rId8"/>
    <sheet name="7" sheetId="14" r:id="rId9"/>
    <sheet name="8" sheetId="16" r:id="rId10"/>
    <sheet name="9" sheetId="21" r:id="rId11"/>
    <sheet name="10" sheetId="22" r:id="rId12"/>
    <sheet name="11" sheetId="23" r:id="rId13"/>
    <sheet name="12" sheetId="25" r:id="rId14"/>
    <sheet name="13" sheetId="26" r:id="rId15"/>
    <sheet name="14" sheetId="27" r:id="rId16"/>
    <sheet name="15" sheetId="28" r:id="rId17"/>
    <sheet name="16" sheetId="29" r:id="rId18"/>
  </sheets>
  <calcPr calcId="145621"/>
</workbook>
</file>

<file path=xl/calcChain.xml><?xml version="1.0" encoding="utf-8"?>
<calcChain xmlns="http://schemas.openxmlformats.org/spreadsheetml/2006/main">
  <c r="C43" i="25" l="1"/>
  <c r="C30" i="23"/>
  <c r="C47" i="23"/>
  <c r="C64" i="23"/>
  <c r="C81" i="23"/>
  <c r="C98" i="23"/>
  <c r="C115" i="23"/>
  <c r="C132" i="23"/>
  <c r="C63" i="10"/>
  <c r="C62" i="10"/>
  <c r="C61" i="10"/>
  <c r="C60" i="10"/>
  <c r="C150" i="23" l="1"/>
  <c r="C149" i="23"/>
  <c r="C5" i="5" l="1"/>
  <c r="AK43" i="4" l="1"/>
  <c r="AI43" i="4"/>
  <c r="AG43" i="4"/>
  <c r="AE43" i="4"/>
  <c r="AC43" i="4"/>
  <c r="AA43" i="4"/>
  <c r="Y43" i="4"/>
  <c r="W43" i="4"/>
  <c r="U43" i="4"/>
  <c r="S43" i="4"/>
  <c r="Q43" i="4"/>
  <c r="O43" i="4"/>
  <c r="M43" i="4"/>
  <c r="K43" i="4"/>
  <c r="I43" i="4"/>
  <c r="G43" i="4"/>
  <c r="E43" i="4"/>
  <c r="C43" i="4"/>
  <c r="C10" i="28" l="1"/>
  <c r="C6" i="27"/>
  <c r="C5" i="27"/>
  <c r="E51" i="26"/>
  <c r="G6" i="26"/>
  <c r="E6" i="26"/>
  <c r="C6" i="26"/>
  <c r="C64" i="25"/>
  <c r="C206" i="22"/>
  <c r="C205" i="22"/>
  <c r="C180" i="22"/>
  <c r="C179" i="22"/>
  <c r="C154" i="22"/>
  <c r="C153" i="22"/>
  <c r="C128" i="22"/>
  <c r="C127" i="22"/>
  <c r="C102" i="22"/>
  <c r="C101" i="22"/>
  <c r="C76" i="22"/>
  <c r="C75" i="22"/>
  <c r="C50" i="22"/>
  <c r="C49" i="22"/>
  <c r="C24" i="22"/>
  <c r="C23" i="22"/>
  <c r="C8" i="22"/>
  <c r="C30" i="16"/>
  <c r="C19" i="16"/>
  <c r="E181" i="14"/>
  <c r="C181" i="14"/>
  <c r="C178" i="14"/>
  <c r="C159" i="14"/>
  <c r="C160" i="14"/>
  <c r="C161" i="14"/>
  <c r="C144" i="14"/>
  <c r="C118" i="14"/>
  <c r="C117" i="14"/>
  <c r="C116" i="14"/>
  <c r="C111" i="14"/>
  <c r="C108" i="14"/>
  <c r="C72" i="14"/>
  <c r="C70" i="14"/>
  <c r="C71" i="14"/>
  <c r="C69" i="14"/>
  <c r="C39" i="14"/>
  <c r="C26" i="14"/>
  <c r="C25" i="14"/>
  <c r="C24" i="14"/>
  <c r="C23" i="14"/>
  <c r="D23" i="14" l="1"/>
  <c r="C76" i="10"/>
  <c r="C116" i="8"/>
  <c r="C96" i="8"/>
  <c r="C92" i="8"/>
  <c r="C88" i="8"/>
  <c r="C60" i="8"/>
  <c r="C57" i="8"/>
  <c r="C9" i="8"/>
  <c r="C5" i="8"/>
  <c r="C18" i="7"/>
  <c r="C17" i="7"/>
  <c r="C9" i="7"/>
  <c r="C8" i="7"/>
  <c r="C23" i="5"/>
  <c r="C22" i="5"/>
  <c r="E10" i="5"/>
  <c r="E5" i="5"/>
  <c r="E6" i="5"/>
  <c r="E7" i="5"/>
  <c r="E8" i="5"/>
  <c r="E9" i="5"/>
  <c r="C7" i="5"/>
  <c r="C8" i="5"/>
  <c r="C9" i="5"/>
  <c r="C10" i="5"/>
  <c r="C6" i="5"/>
  <c r="C239" i="22" l="1"/>
  <c r="C240" i="22"/>
  <c r="C29" i="5"/>
  <c r="C30" i="5"/>
  <c r="C31" i="5"/>
  <c r="C36" i="5"/>
  <c r="C37" i="5"/>
  <c r="C38" i="5"/>
  <c r="C39" i="5"/>
  <c r="C40" i="5"/>
  <c r="C41" i="5"/>
  <c r="C42" i="5"/>
  <c r="C44" i="5"/>
  <c r="C48" i="5"/>
  <c r="C49" i="5"/>
  <c r="C50" i="5"/>
  <c r="C51" i="5"/>
  <c r="C52" i="5"/>
  <c r="C53" i="5"/>
  <c r="C54" i="5"/>
  <c r="C56" i="5"/>
  <c r="C60" i="5"/>
  <c r="C61" i="5"/>
  <c r="C62" i="5"/>
  <c r="C63" i="5"/>
  <c r="C64" i="5"/>
  <c r="C65" i="5"/>
  <c r="C66" i="5"/>
  <c r="C68" i="5"/>
  <c r="C11" i="27"/>
  <c r="C12" i="27"/>
  <c r="C13" i="27"/>
  <c r="C14" i="27"/>
  <c r="C15" i="27"/>
  <c r="C20" i="27"/>
  <c r="C21" i="27"/>
  <c r="C26" i="27"/>
  <c r="C27" i="27"/>
  <c r="C28" i="27"/>
  <c r="C29" i="27"/>
  <c r="C30" i="27"/>
  <c r="C31" i="27"/>
  <c r="C32" i="27"/>
  <c r="C33" i="27"/>
  <c r="G52" i="16"/>
  <c r="E52" i="16"/>
  <c r="C52" i="16"/>
  <c r="G51" i="16"/>
  <c r="E51" i="16"/>
  <c r="C51" i="16"/>
  <c r="C46" i="16"/>
  <c r="C45" i="16"/>
  <c r="C40" i="16"/>
  <c r="C39" i="16"/>
  <c r="C38" i="16"/>
  <c r="C37" i="16"/>
  <c r="C36" i="16"/>
  <c r="C35" i="16"/>
  <c r="C34" i="16"/>
  <c r="C28" i="16"/>
  <c r="C27" i="16"/>
  <c r="C26" i="16"/>
  <c r="C25" i="16"/>
  <c r="C24" i="16"/>
  <c r="C23" i="16"/>
  <c r="C17" i="16"/>
  <c r="C16" i="16"/>
  <c r="C15" i="16"/>
  <c r="C14" i="16"/>
  <c r="C13" i="16"/>
  <c r="C12" i="16"/>
  <c r="C11" i="16"/>
  <c r="C6" i="16"/>
  <c r="C5" i="16"/>
  <c r="C63" i="9"/>
  <c r="D63" i="9"/>
  <c r="E63" i="9"/>
  <c r="C64" i="9"/>
  <c r="D64" i="9"/>
  <c r="E64" i="9"/>
  <c r="C65" i="9"/>
  <c r="D65" i="9"/>
  <c r="E65" i="9"/>
  <c r="C66" i="9"/>
  <c r="D66" i="9"/>
  <c r="E66" i="9"/>
  <c r="C67" i="9"/>
  <c r="D67" i="9"/>
  <c r="E67" i="9"/>
  <c r="C68" i="9"/>
  <c r="D68" i="9"/>
  <c r="E68" i="9"/>
  <c r="C69" i="9"/>
  <c r="D69" i="9"/>
  <c r="E69" i="9"/>
  <c r="C70" i="9"/>
  <c r="D70" i="9"/>
  <c r="E70" i="9"/>
  <c r="C76" i="9"/>
  <c r="C77" i="9"/>
  <c r="C78" i="9"/>
  <c r="C79" i="9"/>
  <c r="C80" i="9"/>
  <c r="C81" i="9"/>
  <c r="C86" i="9"/>
  <c r="C87" i="9"/>
  <c r="C92" i="9"/>
  <c r="C93" i="9"/>
  <c r="C98" i="9"/>
  <c r="C99" i="9"/>
  <c r="C100" i="9"/>
  <c r="C101" i="9"/>
  <c r="C102" i="9"/>
  <c r="C103" i="9"/>
  <c r="C104" i="9"/>
  <c r="C105" i="9"/>
  <c r="C110" i="9"/>
  <c r="C111" i="9"/>
  <c r="C112" i="9"/>
  <c r="C113" i="9"/>
  <c r="C114" i="9"/>
  <c r="C115" i="9"/>
  <c r="C116" i="9"/>
  <c r="C121" i="9"/>
  <c r="C122" i="9"/>
  <c r="C123" i="9"/>
  <c r="C124" i="9"/>
  <c r="C125" i="9"/>
  <c r="C21" i="9"/>
  <c r="C22" i="9"/>
  <c r="C23" i="9"/>
  <c r="C24" i="9"/>
  <c r="C25" i="9"/>
  <c r="C26" i="9"/>
  <c r="C27" i="9"/>
  <c r="C28" i="9"/>
  <c r="C29" i="9"/>
  <c r="C30" i="9"/>
  <c r="C35" i="9"/>
  <c r="C36" i="9"/>
  <c r="C41" i="9"/>
  <c r="C42" i="9"/>
  <c r="C43" i="9"/>
  <c r="C44" i="9"/>
  <c r="C45" i="9"/>
  <c r="C50" i="9"/>
  <c r="C51" i="9"/>
  <c r="C56" i="9"/>
  <c r="C57" i="9"/>
  <c r="C47" i="25"/>
  <c r="C48" i="25"/>
  <c r="C53" i="25"/>
  <c r="C54" i="25"/>
  <c r="C59" i="25"/>
  <c r="C60" i="25"/>
  <c r="C61" i="25"/>
  <c r="C62" i="25"/>
  <c r="D59" i="25"/>
  <c r="C68" i="25"/>
  <c r="C69" i="25"/>
  <c r="E179" i="14"/>
  <c r="C179" i="14"/>
  <c r="E178" i="14"/>
  <c r="E177" i="14"/>
  <c r="C177" i="14"/>
  <c r="C172" i="14"/>
  <c r="C171" i="14"/>
  <c r="C138" i="14"/>
  <c r="C139" i="14"/>
  <c r="C145" i="14"/>
  <c r="C146" i="14"/>
  <c r="C147" i="14"/>
  <c r="C149" i="14"/>
  <c r="C153" i="14"/>
  <c r="C154" i="14"/>
  <c r="C162" i="14"/>
  <c r="C163" i="14"/>
  <c r="C164" i="14"/>
  <c r="C166" i="14"/>
  <c r="C115" i="14"/>
  <c r="C120" i="14"/>
  <c r="C124" i="14"/>
  <c r="C125" i="14"/>
  <c r="C130" i="14"/>
  <c r="C131" i="14"/>
  <c r="C132" i="14"/>
  <c r="C133" i="14"/>
  <c r="C109" i="14"/>
  <c r="C107" i="14"/>
  <c r="C103" i="14"/>
  <c r="C101" i="14"/>
  <c r="C100" i="14"/>
  <c r="C99" i="14"/>
  <c r="C98" i="14"/>
  <c r="C97" i="14"/>
  <c r="C96" i="14"/>
  <c r="C95" i="14"/>
  <c r="C90" i="14"/>
  <c r="C89" i="14"/>
  <c r="C88" i="14"/>
  <c r="C87" i="14"/>
  <c r="C86" i="14"/>
  <c r="C85" i="14"/>
  <c r="C84" i="14"/>
  <c r="C83" i="14"/>
  <c r="C82" i="14"/>
  <c r="C81" i="14"/>
  <c r="C80" i="14"/>
  <c r="C79" i="14"/>
  <c r="C78" i="14"/>
  <c r="C74" i="14"/>
  <c r="C28" i="14"/>
  <c r="C43" i="14"/>
  <c r="C44" i="14"/>
  <c r="C49" i="14"/>
  <c r="C50" i="14"/>
  <c r="C55" i="14"/>
  <c r="C56" i="14"/>
  <c r="C61" i="14"/>
  <c r="C62" i="14"/>
  <c r="C63" i="14"/>
  <c r="C55" i="10"/>
  <c r="C54" i="10"/>
  <c r="C53" i="10"/>
  <c r="C52" i="10"/>
  <c r="C51" i="10"/>
  <c r="C46" i="10"/>
  <c r="C45" i="10"/>
  <c r="C44" i="10"/>
  <c r="C43" i="10"/>
  <c r="C38" i="10"/>
  <c r="C37" i="10"/>
  <c r="C36" i="10"/>
  <c r="C35" i="10"/>
  <c r="C34" i="10"/>
  <c r="C29" i="10"/>
  <c r="C28" i="10"/>
  <c r="C27" i="10"/>
  <c r="C26" i="10"/>
  <c r="C25" i="10"/>
  <c r="E20" i="10"/>
  <c r="C20" i="10"/>
  <c r="E19" i="10"/>
  <c r="C19" i="10"/>
  <c r="E18" i="10"/>
  <c r="C18" i="10"/>
  <c r="E17" i="10"/>
  <c r="C17" i="10"/>
  <c r="E16" i="10"/>
  <c r="C16" i="10"/>
  <c r="E10" i="10"/>
  <c r="C10" i="10"/>
  <c r="E9" i="10"/>
  <c r="C9" i="10"/>
  <c r="E8" i="10"/>
  <c r="C8" i="10"/>
  <c r="E7" i="10"/>
  <c r="C7" i="10"/>
  <c r="E6" i="10"/>
  <c r="C6" i="10"/>
  <c r="C15" i="9"/>
  <c r="C14" i="9"/>
  <c r="C9" i="9"/>
  <c r="C8" i="9"/>
  <c r="C7" i="9"/>
  <c r="C6" i="9"/>
  <c r="C5" i="9"/>
  <c r="C115" i="8"/>
  <c r="C120" i="8"/>
  <c r="C119" i="8"/>
  <c r="C121" i="8"/>
  <c r="C118" i="8"/>
  <c r="C117" i="8"/>
  <c r="C110" i="8"/>
  <c r="C109" i="8"/>
  <c r="C104" i="8"/>
  <c r="C103" i="8"/>
  <c r="C102" i="8"/>
  <c r="C101" i="8"/>
  <c r="C100" i="8"/>
  <c r="C94" i="8"/>
  <c r="C93" i="8"/>
  <c r="C89" i="8"/>
  <c r="C91" i="8"/>
  <c r="C90" i="8"/>
  <c r="C84" i="8"/>
  <c r="C82" i="8"/>
  <c r="C81" i="8"/>
  <c r="C80" i="8"/>
  <c r="C79" i="8"/>
  <c r="C78" i="8"/>
  <c r="C77" i="8"/>
  <c r="C76" i="8"/>
  <c r="C75" i="8"/>
  <c r="C74" i="8"/>
  <c r="C73" i="8"/>
  <c r="C68" i="8"/>
  <c r="C67" i="8"/>
  <c r="C66" i="8"/>
  <c r="C65" i="8"/>
  <c r="C64" i="8"/>
  <c r="C58" i="8"/>
  <c r="C53" i="8"/>
  <c r="C56" i="8"/>
  <c r="C55" i="8"/>
  <c r="C54" i="8"/>
  <c r="C52" i="8"/>
  <c r="C51" i="8"/>
  <c r="C46" i="8"/>
  <c r="C45" i="8"/>
  <c r="C44" i="8"/>
  <c r="C43" i="8"/>
  <c r="C42" i="8"/>
  <c r="C35" i="8"/>
  <c r="C37" i="8"/>
  <c r="C36" i="8"/>
  <c r="C34" i="8"/>
  <c r="C33" i="8"/>
  <c r="C32" i="8"/>
  <c r="C31" i="8"/>
  <c r="C24" i="8"/>
  <c r="C25" i="8"/>
  <c r="C23" i="8"/>
  <c r="C22" i="8"/>
  <c r="C14" i="8"/>
  <c r="C17" i="8"/>
  <c r="C16" i="8"/>
  <c r="C15" i="8"/>
  <c r="C13" i="8"/>
  <c r="C7" i="8"/>
  <c r="C6" i="8"/>
  <c r="C26" i="7"/>
  <c r="C25" i="7"/>
  <c r="C24" i="7"/>
  <c r="C20" i="7"/>
  <c r="C16" i="7"/>
  <c r="C15" i="7"/>
  <c r="C11" i="7"/>
  <c r="C7" i="7"/>
  <c r="C6" i="7"/>
  <c r="C25" i="5"/>
  <c r="C21" i="5"/>
  <c r="C16" i="5"/>
  <c r="C15" i="5"/>
  <c r="AK29" i="4"/>
  <c r="AK28" i="4"/>
  <c r="AK27" i="4"/>
  <c r="AI30" i="4"/>
  <c r="AI29" i="4"/>
  <c r="AI28" i="4"/>
  <c r="AI27" i="4"/>
  <c r="AG30" i="4"/>
  <c r="AG29" i="4"/>
  <c r="AG28" i="4"/>
  <c r="AG27" i="4"/>
  <c r="AE33" i="4"/>
  <c r="AE32" i="4"/>
  <c r="AE31" i="4"/>
  <c r="AE30" i="4"/>
  <c r="AE29" i="4"/>
  <c r="AE28" i="4"/>
  <c r="AE27" i="4"/>
  <c r="AC30" i="4"/>
  <c r="AC29" i="4"/>
  <c r="AC28" i="4"/>
  <c r="AC27" i="4"/>
  <c r="AA30" i="4"/>
  <c r="AA29" i="4"/>
  <c r="AA28" i="4"/>
  <c r="AA27" i="4"/>
  <c r="Y29" i="4"/>
  <c r="Y28" i="4"/>
  <c r="Y27" i="4"/>
  <c r="W31" i="4"/>
  <c r="W30" i="4"/>
  <c r="W29" i="4"/>
  <c r="W28" i="4"/>
  <c r="W27" i="4"/>
  <c r="U31" i="4"/>
  <c r="U30" i="4"/>
  <c r="U29" i="4"/>
  <c r="U28" i="4"/>
  <c r="U27" i="4"/>
  <c r="S29" i="4"/>
  <c r="S28" i="4"/>
  <c r="S27" i="4"/>
  <c r="Q30" i="4"/>
  <c r="Q29" i="4"/>
  <c r="Q28" i="4"/>
  <c r="Q27" i="4"/>
  <c r="O32" i="4"/>
  <c r="O31" i="4"/>
  <c r="O30" i="4"/>
  <c r="O29" i="4"/>
  <c r="O28" i="4"/>
  <c r="O27" i="4"/>
  <c r="M32" i="4"/>
  <c r="M31" i="4"/>
  <c r="M30" i="4"/>
  <c r="M29" i="4"/>
  <c r="M28" i="4"/>
  <c r="M27" i="4"/>
  <c r="K30" i="4"/>
  <c r="K29" i="4"/>
  <c r="K28" i="4"/>
  <c r="K27" i="4"/>
  <c r="I30" i="4"/>
  <c r="I29" i="4"/>
  <c r="I28" i="4"/>
  <c r="I27" i="4"/>
  <c r="G30" i="4"/>
  <c r="G29" i="4"/>
  <c r="G28" i="4"/>
  <c r="G27" i="4"/>
  <c r="E27" i="4"/>
  <c r="C49" i="25" l="1"/>
  <c r="C41" i="16"/>
  <c r="D35" i="16" s="1"/>
  <c r="C53" i="16"/>
  <c r="D52" i="16" s="1"/>
  <c r="C29" i="16"/>
  <c r="D24" i="16" s="1"/>
  <c r="C241" i="22"/>
  <c r="D240" i="22" s="1"/>
  <c r="G53" i="16"/>
  <c r="H51" i="16" s="1"/>
  <c r="C110" i="14"/>
  <c r="D108" i="14" s="1"/>
  <c r="C94" i="9"/>
  <c r="D92" i="9" s="1"/>
  <c r="D36" i="16"/>
  <c r="E53" i="16"/>
  <c r="F51" i="16" s="1"/>
  <c r="D61" i="25"/>
  <c r="C82" i="9"/>
  <c r="D77" i="9" s="1"/>
  <c r="C47" i="16"/>
  <c r="D45" i="16" s="1"/>
  <c r="D34" i="16"/>
  <c r="C69" i="8"/>
  <c r="D66" i="8" s="1"/>
  <c r="C43" i="5"/>
  <c r="D39" i="5" s="1"/>
  <c r="C32" i="5"/>
  <c r="D29" i="5" s="1"/>
  <c r="D30" i="5"/>
  <c r="C67" i="5"/>
  <c r="D64" i="5" s="1"/>
  <c r="C55" i="5"/>
  <c r="D52" i="5" s="1"/>
  <c r="C22" i="27"/>
  <c r="D21" i="27" s="1"/>
  <c r="C34" i="27"/>
  <c r="D29" i="27" s="1"/>
  <c r="C16" i="27"/>
  <c r="D46" i="16"/>
  <c r="D47" i="16" s="1"/>
  <c r="D23" i="16"/>
  <c r="D29" i="16" s="1"/>
  <c r="C7" i="16"/>
  <c r="D5" i="16" s="1"/>
  <c r="C18" i="16"/>
  <c r="D13" i="16" s="1"/>
  <c r="C71" i="9"/>
  <c r="D93" i="9"/>
  <c r="C31" i="9"/>
  <c r="D22" i="9" s="1"/>
  <c r="D76" i="9"/>
  <c r="E71" i="9"/>
  <c r="D71" i="9"/>
  <c r="C126" i="9"/>
  <c r="D121" i="9" s="1"/>
  <c r="C117" i="9"/>
  <c r="D112" i="9" s="1"/>
  <c r="C106" i="9"/>
  <c r="D104" i="9" s="1"/>
  <c r="C88" i="9"/>
  <c r="D86" i="9" s="1"/>
  <c r="D28" i="9"/>
  <c r="C52" i="9"/>
  <c r="D51" i="9" s="1"/>
  <c r="C58" i="9"/>
  <c r="D56" i="9" s="1"/>
  <c r="C46" i="9"/>
  <c r="C37" i="9"/>
  <c r="D35" i="9" s="1"/>
  <c r="D62" i="25"/>
  <c r="C63" i="25"/>
  <c r="D47" i="25"/>
  <c r="C55" i="25"/>
  <c r="D54" i="25" s="1"/>
  <c r="D48" i="25"/>
  <c r="D60" i="25"/>
  <c r="C70" i="25"/>
  <c r="D68" i="25" s="1"/>
  <c r="C180" i="14"/>
  <c r="D178" i="14" s="1"/>
  <c r="C140" i="14"/>
  <c r="D139" i="14" s="1"/>
  <c r="C173" i="14"/>
  <c r="D172" i="14" s="1"/>
  <c r="E180" i="14"/>
  <c r="F179" i="14" s="1"/>
  <c r="C126" i="14"/>
  <c r="D125" i="14" s="1"/>
  <c r="D164" i="14"/>
  <c r="C155" i="14"/>
  <c r="D154" i="14" s="1"/>
  <c r="C148" i="14"/>
  <c r="D147" i="14" s="1"/>
  <c r="C165" i="14"/>
  <c r="D159" i="14" s="1"/>
  <c r="D71" i="14"/>
  <c r="C134" i="14"/>
  <c r="D131" i="14" s="1"/>
  <c r="C119" i="14"/>
  <c r="D116" i="14" s="1"/>
  <c r="D117" i="14"/>
  <c r="C102" i="14"/>
  <c r="D98" i="14" s="1"/>
  <c r="C91" i="14"/>
  <c r="D87" i="14" s="1"/>
  <c r="C73" i="14"/>
  <c r="C56" i="10"/>
  <c r="D55" i="10" s="1"/>
  <c r="C64" i="14"/>
  <c r="D61" i="14" s="1"/>
  <c r="C51" i="14"/>
  <c r="D49" i="14" s="1"/>
  <c r="C57" i="14"/>
  <c r="D56" i="14" s="1"/>
  <c r="C45" i="14"/>
  <c r="D44" i="14" s="1"/>
  <c r="C47" i="10"/>
  <c r="D43" i="10" s="1"/>
  <c r="C30" i="10"/>
  <c r="D28" i="10" s="1"/>
  <c r="C64" i="10"/>
  <c r="D60" i="10" s="1"/>
  <c r="C39" i="10"/>
  <c r="D38" i="10" s="1"/>
  <c r="E21" i="10"/>
  <c r="F19" i="10" s="1"/>
  <c r="C11" i="10"/>
  <c r="D6" i="10" s="1"/>
  <c r="C21" i="10"/>
  <c r="D20" i="10" s="1"/>
  <c r="E11" i="10"/>
  <c r="F8" i="10" s="1"/>
  <c r="C10" i="9"/>
  <c r="D9" i="9" s="1"/>
  <c r="C16" i="9"/>
  <c r="D14" i="9" s="1"/>
  <c r="C26" i="8"/>
  <c r="D24" i="8" s="1"/>
  <c r="C47" i="8"/>
  <c r="D46" i="8" s="1"/>
  <c r="C59" i="8"/>
  <c r="D54" i="8" s="1"/>
  <c r="C122" i="8"/>
  <c r="D116" i="8" s="1"/>
  <c r="C95" i="8"/>
  <c r="D92" i="8" s="1"/>
  <c r="C38" i="8"/>
  <c r="D36" i="8" s="1"/>
  <c r="C105" i="8"/>
  <c r="D104" i="8" s="1"/>
  <c r="C8" i="8"/>
  <c r="D6" i="8" s="1"/>
  <c r="C18" i="8"/>
  <c r="D15" i="8" s="1"/>
  <c r="C83" i="8"/>
  <c r="D76" i="8" s="1"/>
  <c r="C111" i="8"/>
  <c r="D110" i="8" s="1"/>
  <c r="C27" i="7"/>
  <c r="D25" i="7" s="1"/>
  <c r="C19" i="7"/>
  <c r="D17" i="7" s="1"/>
  <c r="C10" i="7"/>
  <c r="D6" i="7" s="1"/>
  <c r="C24" i="5"/>
  <c r="D23" i="5" s="1"/>
  <c r="E11" i="5"/>
  <c r="C11" i="5"/>
  <c r="C17" i="5"/>
  <c r="D16" i="5" s="1"/>
  <c r="F5" i="5" l="1"/>
  <c r="D239" i="22"/>
  <c r="D241" i="22" s="1"/>
  <c r="D51" i="16"/>
  <c r="D138" i="14"/>
  <c r="D140" i="14" s="1"/>
  <c r="D25" i="9"/>
  <c r="D41" i="16"/>
  <c r="F52" i="16"/>
  <c r="D42" i="5"/>
  <c r="F6" i="5"/>
  <c r="F10" i="5"/>
  <c r="F7" i="5"/>
  <c r="F9" i="5"/>
  <c r="F8" i="5"/>
  <c r="D81" i="9"/>
  <c r="D39" i="16"/>
  <c r="D38" i="16"/>
  <c r="D37" i="16"/>
  <c r="D40" i="16"/>
  <c r="D79" i="9"/>
  <c r="D80" i="9"/>
  <c r="D78" i="9"/>
  <c r="D25" i="16"/>
  <c r="D37" i="5"/>
  <c r="D40" i="5"/>
  <c r="D26" i="16"/>
  <c r="D28" i="16"/>
  <c r="D7" i="5"/>
  <c r="D9" i="5"/>
  <c r="D8" i="5"/>
  <c r="D6" i="5"/>
  <c r="D5" i="5"/>
  <c r="D10" i="5"/>
  <c r="D27" i="16"/>
  <c r="D41" i="5"/>
  <c r="D38" i="5"/>
  <c r="H52" i="16"/>
  <c r="D31" i="5"/>
  <c r="D124" i="14"/>
  <c r="D115" i="14"/>
  <c r="D21" i="9"/>
  <c r="D30" i="9"/>
  <c r="D26" i="9"/>
  <c r="D29" i="9"/>
  <c r="D82" i="9"/>
  <c r="D94" i="9"/>
  <c r="D27" i="9"/>
  <c r="D23" i="9"/>
  <c r="D24" i="9"/>
  <c r="D11" i="16"/>
  <c r="D32" i="5"/>
  <c r="D98" i="9"/>
  <c r="D49" i="25"/>
  <c r="D34" i="8"/>
  <c r="D16" i="16"/>
  <c r="D36" i="5"/>
  <c r="D45" i="8"/>
  <c r="D43" i="5"/>
  <c r="D50" i="5"/>
  <c r="D61" i="5"/>
  <c r="D63" i="5"/>
  <c r="D65" i="5"/>
  <c r="D48" i="5"/>
  <c r="D62" i="5"/>
  <c r="D49" i="5"/>
  <c r="D51" i="5"/>
  <c r="D53" i="5"/>
  <c r="D54" i="5"/>
  <c r="D66" i="5"/>
  <c r="D60" i="5"/>
  <c r="D20" i="27"/>
  <c r="D22" i="27" s="1"/>
  <c r="D27" i="27"/>
  <c r="D12" i="27"/>
  <c r="D14" i="27"/>
  <c r="D15" i="27"/>
  <c r="D26" i="27"/>
  <c r="D28" i="27"/>
  <c r="D30" i="27"/>
  <c r="D32" i="27"/>
  <c r="D13" i="27"/>
  <c r="D11" i="27"/>
  <c r="D33" i="27"/>
  <c r="D31" i="27"/>
  <c r="D6" i="16"/>
  <c r="D7" i="16" s="1"/>
  <c r="D12" i="16"/>
  <c r="D17" i="16"/>
  <c r="D15" i="16"/>
  <c r="D14" i="16"/>
  <c r="D101" i="9"/>
  <c r="D105" i="9"/>
  <c r="D100" i="9"/>
  <c r="D57" i="9"/>
  <c r="D58" i="9" s="1"/>
  <c r="D103" i="9"/>
  <c r="D110" i="9"/>
  <c r="D87" i="9"/>
  <c r="D88" i="9" s="1"/>
  <c r="D114" i="9"/>
  <c r="D125" i="9"/>
  <c r="D111" i="9"/>
  <c r="D113" i="9"/>
  <c r="D116" i="9"/>
  <c r="D122" i="9"/>
  <c r="D115" i="9"/>
  <c r="D124" i="9"/>
  <c r="D102" i="9"/>
  <c r="D99" i="9"/>
  <c r="D123" i="9"/>
  <c r="D36" i="9"/>
  <c r="D37" i="9" s="1"/>
  <c r="D50" i="9"/>
  <c r="D52" i="9" s="1"/>
  <c r="D42" i="9"/>
  <c r="D44" i="9"/>
  <c r="D41" i="9"/>
  <c r="D43" i="9"/>
  <c r="D45" i="9"/>
  <c r="D69" i="25"/>
  <c r="D70" i="25" s="1"/>
  <c r="D63" i="25"/>
  <c r="D53" i="25"/>
  <c r="D55" i="25" s="1"/>
  <c r="D133" i="14"/>
  <c r="F177" i="14"/>
  <c r="F178" i="14"/>
  <c r="D177" i="14"/>
  <c r="D118" i="14"/>
  <c r="D171" i="14"/>
  <c r="D173" i="14" s="1"/>
  <c r="D126" i="14"/>
  <c r="D179" i="14"/>
  <c r="D153" i="14"/>
  <c r="D155" i="14" s="1"/>
  <c r="D146" i="14"/>
  <c r="D145" i="14"/>
  <c r="D144" i="14"/>
  <c r="D163" i="14"/>
  <c r="D132" i="14"/>
  <c r="D160" i="14"/>
  <c r="D130" i="14"/>
  <c r="D162" i="14"/>
  <c r="D161" i="14"/>
  <c r="D107" i="14"/>
  <c r="D109" i="14"/>
  <c r="D95" i="14"/>
  <c r="D99" i="14"/>
  <c r="D96" i="14"/>
  <c r="D100" i="14"/>
  <c r="D101" i="14"/>
  <c r="D89" i="14"/>
  <c r="D85" i="14"/>
  <c r="D97" i="14"/>
  <c r="D90" i="14"/>
  <c r="D88" i="14"/>
  <c r="D86" i="14"/>
  <c r="D84" i="14"/>
  <c r="D82" i="14"/>
  <c r="D80" i="14"/>
  <c r="D78" i="14"/>
  <c r="D81" i="14"/>
  <c r="D83" i="14"/>
  <c r="D62" i="14"/>
  <c r="D79" i="14"/>
  <c r="D55" i="14"/>
  <c r="D57" i="14" s="1"/>
  <c r="D70" i="14"/>
  <c r="D72" i="14"/>
  <c r="D50" i="14"/>
  <c r="D51" i="14" s="1"/>
  <c r="D52" i="10"/>
  <c r="D54" i="10"/>
  <c r="D51" i="10"/>
  <c r="D53" i="10"/>
  <c r="D63" i="14"/>
  <c r="D43" i="14"/>
  <c r="D45" i="14" s="1"/>
  <c r="D15" i="5"/>
  <c r="D17" i="5" s="1"/>
  <c r="D45" i="10"/>
  <c r="D34" i="10"/>
  <c r="D61" i="10"/>
  <c r="D10" i="10"/>
  <c r="D17" i="10"/>
  <c r="D25" i="10"/>
  <c r="D26" i="10"/>
  <c r="D46" i="10"/>
  <c r="D44" i="10"/>
  <c r="F6" i="10"/>
  <c r="D8" i="10"/>
  <c r="D27" i="10"/>
  <c r="D9" i="10"/>
  <c r="D7" i="10"/>
  <c r="D36" i="10"/>
  <c r="D62" i="10"/>
  <c r="D37" i="10"/>
  <c r="D35" i="10"/>
  <c r="D29" i="10"/>
  <c r="D16" i="10"/>
  <c r="D63" i="10"/>
  <c r="F20" i="10"/>
  <c r="F17" i="10"/>
  <c r="F18" i="10"/>
  <c r="F16" i="10"/>
  <c r="F10" i="10"/>
  <c r="F9" i="10"/>
  <c r="F7" i="10"/>
  <c r="D18" i="10"/>
  <c r="D19" i="10"/>
  <c r="D8" i="9"/>
  <c r="D6" i="9"/>
  <c r="D5" i="9"/>
  <c r="D7" i="9"/>
  <c r="D15" i="9"/>
  <c r="D16" i="9" s="1"/>
  <c r="D33" i="8"/>
  <c r="D37" i="8"/>
  <c r="D101" i="8"/>
  <c r="D88" i="8"/>
  <c r="D89" i="8"/>
  <c r="D68" i="8"/>
  <c r="D64" i="8"/>
  <c r="D67" i="8"/>
  <c r="D65" i="8"/>
  <c r="D17" i="8"/>
  <c r="D102" i="8"/>
  <c r="D5" i="8"/>
  <c r="D100" i="8"/>
  <c r="D94" i="8"/>
  <c r="D91" i="8"/>
  <c r="D90" i="8"/>
  <c r="D93" i="8"/>
  <c r="D58" i="8"/>
  <c r="D56" i="8"/>
  <c r="D51" i="8"/>
  <c r="D55" i="8"/>
  <c r="D57" i="8"/>
  <c r="D52" i="8"/>
  <c r="D53" i="8"/>
  <c r="D43" i="8"/>
  <c r="D42" i="8"/>
  <c r="D44" i="8"/>
  <c r="D23" i="8"/>
  <c r="D25" i="8"/>
  <c r="D22" i="8"/>
  <c r="D14" i="8"/>
  <c r="D16" i="8"/>
  <c r="D13" i="8"/>
  <c r="D18" i="8" s="1"/>
  <c r="D121" i="8"/>
  <c r="D118" i="8"/>
  <c r="D117" i="8"/>
  <c r="D119" i="8"/>
  <c r="D115" i="8"/>
  <c r="D120" i="8"/>
  <c r="D109" i="8"/>
  <c r="D111" i="8" s="1"/>
  <c r="D31" i="8"/>
  <c r="D32" i="8"/>
  <c r="D7" i="8"/>
  <c r="D35" i="8"/>
  <c r="D103" i="8"/>
  <c r="D82" i="8"/>
  <c r="D81" i="8"/>
  <c r="D75" i="8"/>
  <c r="D78" i="8"/>
  <c r="D77" i="8"/>
  <c r="D80" i="8"/>
  <c r="D79" i="8"/>
  <c r="D74" i="8"/>
  <c r="D73" i="8"/>
  <c r="D24" i="7"/>
  <c r="D26" i="7"/>
  <c r="D8" i="7"/>
  <c r="D15" i="7"/>
  <c r="D9" i="7"/>
  <c r="D7" i="7"/>
  <c r="D18" i="7"/>
  <c r="D16" i="7"/>
  <c r="D22" i="5"/>
  <c r="D21" i="5"/>
  <c r="D31" i="9" l="1"/>
  <c r="D18" i="16"/>
  <c r="D165" i="14"/>
  <c r="D55" i="5"/>
  <c r="D67" i="5"/>
  <c r="D34" i="27"/>
  <c r="D16" i="27"/>
  <c r="D106" i="9"/>
  <c r="D126" i="9"/>
  <c r="D117" i="9"/>
  <c r="D46" i="9"/>
  <c r="D180" i="14"/>
  <c r="F180" i="14"/>
  <c r="D134" i="14"/>
  <c r="D148" i="14"/>
  <c r="D110" i="14"/>
  <c r="D102" i="14"/>
  <c r="D64" i="14"/>
  <c r="D91" i="14"/>
  <c r="D56" i="10"/>
  <c r="D10" i="9"/>
  <c r="D47" i="10"/>
  <c r="D11" i="10"/>
  <c r="D30" i="10"/>
  <c r="D64" i="10"/>
  <c r="D39" i="10"/>
  <c r="D21" i="10"/>
  <c r="F21" i="10"/>
  <c r="F11" i="10"/>
  <c r="D8" i="8"/>
  <c r="D122" i="8"/>
  <c r="D105" i="8"/>
  <c r="D95" i="8"/>
  <c r="D83" i="8"/>
  <c r="D69" i="8"/>
  <c r="D59" i="8"/>
  <c r="D47" i="8"/>
  <c r="D38" i="8"/>
  <c r="D26" i="8"/>
  <c r="D27" i="7"/>
  <c r="D19" i="7"/>
  <c r="D10" i="7"/>
  <c r="D24" i="5"/>
  <c r="F11" i="5"/>
  <c r="D11" i="5"/>
  <c r="E32" i="4" l="1"/>
  <c r="E31" i="4"/>
  <c r="E30" i="4"/>
  <c r="E29" i="4"/>
  <c r="E28" i="4"/>
  <c r="C42" i="4"/>
  <c r="C41" i="4"/>
  <c r="C40" i="4"/>
  <c r="C39" i="4"/>
  <c r="C38" i="4"/>
  <c r="C37" i="4"/>
  <c r="C36" i="4"/>
  <c r="C35" i="4"/>
  <c r="C34" i="4"/>
  <c r="C33" i="4"/>
  <c r="C32" i="4"/>
  <c r="C31" i="4"/>
  <c r="C30" i="4"/>
  <c r="C29" i="4"/>
  <c r="C28" i="4"/>
  <c r="C27" i="4"/>
  <c r="C22" i="4"/>
  <c r="C21" i="4"/>
  <c r="C20" i="4"/>
  <c r="C19" i="4"/>
  <c r="C18" i="4"/>
  <c r="C17" i="4"/>
  <c r="C16" i="4"/>
  <c r="C15" i="4"/>
  <c r="C14" i="4"/>
  <c r="C13" i="4"/>
  <c r="C12" i="4"/>
  <c r="C11" i="4"/>
  <c r="C10" i="4"/>
  <c r="C9" i="4"/>
  <c r="C8" i="4"/>
  <c r="C7" i="4"/>
  <c r="C6" i="4"/>
  <c r="C5" i="4"/>
  <c r="C23" i="4" l="1"/>
  <c r="D13" i="4" s="1"/>
  <c r="D21" i="4" l="1"/>
  <c r="D22" i="4"/>
  <c r="D12" i="4"/>
  <c r="D19" i="4"/>
  <c r="D18" i="4"/>
  <c r="D17" i="4"/>
  <c r="D20" i="4"/>
  <c r="D15" i="4"/>
  <c r="D14" i="4"/>
  <c r="D9" i="4"/>
  <c r="D16" i="4"/>
  <c r="D11" i="4"/>
  <c r="D6" i="4"/>
  <c r="D5" i="4"/>
  <c r="D8" i="4"/>
  <c r="D7" i="4"/>
  <c r="D10" i="4"/>
  <c r="D23" i="4" l="1"/>
  <c r="G11" i="26" l="1"/>
  <c r="G10" i="26"/>
  <c r="G9" i="26"/>
  <c r="G8" i="26"/>
  <c r="C11" i="26"/>
  <c r="C10" i="26"/>
  <c r="C9" i="26"/>
  <c r="C8" i="26"/>
  <c r="E11" i="26"/>
  <c r="E10" i="26"/>
  <c r="E9" i="26"/>
  <c r="E8" i="26"/>
  <c r="C208" i="22"/>
  <c r="C182" i="22"/>
  <c r="C130" i="22"/>
  <c r="C104" i="22"/>
  <c r="C78" i="22"/>
  <c r="C52" i="22"/>
  <c r="C26" i="22"/>
  <c r="C16" i="14"/>
  <c r="C14" i="14"/>
  <c r="C13" i="14"/>
  <c r="C15" i="14"/>
  <c r="C71" i="10"/>
  <c r="C70" i="10"/>
  <c r="C69" i="10"/>
  <c r="C68" i="10"/>
  <c r="C77" i="10"/>
  <c r="C78" i="10"/>
  <c r="C156" i="22"/>
  <c r="C17" i="28"/>
  <c r="C15" i="28"/>
  <c r="C14" i="28"/>
  <c r="C13" i="28"/>
  <c r="C12" i="28"/>
  <c r="C11" i="28"/>
  <c r="C9" i="28"/>
  <c r="C5" i="28"/>
  <c r="E52" i="26"/>
  <c r="E53" i="26" s="1"/>
  <c r="C52" i="26"/>
  <c r="C51" i="26"/>
  <c r="E46" i="26"/>
  <c r="E45" i="26"/>
  <c r="C46" i="26"/>
  <c r="C45" i="26"/>
  <c r="C40" i="26"/>
  <c r="C39" i="26"/>
  <c r="G14" i="26"/>
  <c r="G12" i="26"/>
  <c r="G7" i="26"/>
  <c r="E34" i="26"/>
  <c r="E33" i="26"/>
  <c r="E32" i="26"/>
  <c r="C32" i="26"/>
  <c r="E31" i="26"/>
  <c r="C6" i="29"/>
  <c r="C5" i="29"/>
  <c r="E14" i="26"/>
  <c r="E12" i="26"/>
  <c r="E7" i="26"/>
  <c r="C34" i="26"/>
  <c r="C33" i="26"/>
  <c r="C31" i="26"/>
  <c r="C25" i="26"/>
  <c r="C24" i="26"/>
  <c r="C19" i="26"/>
  <c r="C18" i="26"/>
  <c r="C148" i="23"/>
  <c r="C147" i="23"/>
  <c r="C146" i="23"/>
  <c r="C12" i="26"/>
  <c r="C14" i="26"/>
  <c r="C7" i="26"/>
  <c r="F52" i="26" l="1"/>
  <c r="F51" i="26"/>
  <c r="C47" i="26"/>
  <c r="D46" i="26" s="1"/>
  <c r="C53" i="26"/>
  <c r="D52" i="26" s="1"/>
  <c r="C72" i="10"/>
  <c r="D71" i="10" s="1"/>
  <c r="C16" i="28"/>
  <c r="E47" i="26"/>
  <c r="F45" i="26" s="1"/>
  <c r="C41" i="26"/>
  <c r="D39" i="26" s="1"/>
  <c r="G13" i="26"/>
  <c r="E35" i="26"/>
  <c r="F34" i="26" s="1"/>
  <c r="C7" i="29"/>
  <c r="D5" i="29" s="1"/>
  <c r="E13" i="26"/>
  <c r="F11" i="26" s="1"/>
  <c r="C35" i="26"/>
  <c r="D32" i="26" s="1"/>
  <c r="C26" i="26"/>
  <c r="D24" i="26" s="1"/>
  <c r="C20" i="26"/>
  <c r="C13" i="26"/>
  <c r="D51" i="26" l="1"/>
  <c r="D45" i="26"/>
  <c r="F46" i="26"/>
  <c r="D70" i="10"/>
  <c r="D69" i="10"/>
  <c r="D68" i="10"/>
  <c r="D15" i="28"/>
  <c r="D14" i="28"/>
  <c r="D13" i="28"/>
  <c r="D12" i="28"/>
  <c r="D9" i="28"/>
  <c r="D10" i="28"/>
  <c r="D11" i="28"/>
  <c r="D40" i="26"/>
  <c r="D41" i="26" s="1"/>
  <c r="H12" i="26"/>
  <c r="H10" i="26"/>
  <c r="H8" i="26"/>
  <c r="H11" i="26"/>
  <c r="H7" i="26"/>
  <c r="H9" i="26"/>
  <c r="H6" i="26"/>
  <c r="F33" i="26"/>
  <c r="F31" i="26"/>
  <c r="F32" i="26"/>
  <c r="D6" i="29"/>
  <c r="D7" i="29" s="1"/>
  <c r="F10" i="26"/>
  <c r="F7" i="26"/>
  <c r="F12" i="26"/>
  <c r="F6" i="26"/>
  <c r="F9" i="26"/>
  <c r="F8" i="26"/>
  <c r="D31" i="26"/>
  <c r="D34" i="26"/>
  <c r="D33" i="26"/>
  <c r="D18" i="26"/>
  <c r="D19" i="26"/>
  <c r="D25" i="26"/>
  <c r="D26" i="26" s="1"/>
  <c r="D12" i="26"/>
  <c r="D10" i="26"/>
  <c r="D8" i="26"/>
  <c r="D6" i="26"/>
  <c r="D11" i="26"/>
  <c r="D9" i="26"/>
  <c r="D7" i="26"/>
  <c r="D72" i="10" l="1"/>
  <c r="D16" i="28"/>
  <c r="H13" i="26"/>
  <c r="F35" i="26"/>
  <c r="F13" i="26"/>
  <c r="D20" i="26"/>
  <c r="D35" i="26"/>
  <c r="D13" i="26"/>
  <c r="C141" i="23" l="1"/>
  <c r="C140" i="23"/>
  <c r="C7" i="27"/>
  <c r="C151" i="23" l="1"/>
  <c r="D148" i="23" s="1"/>
  <c r="C142" i="23"/>
  <c r="D140" i="23" s="1"/>
  <c r="C41" i="25"/>
  <c r="C40" i="25"/>
  <c r="C39" i="25"/>
  <c r="C38" i="25"/>
  <c r="C37" i="25"/>
  <c r="C32" i="25"/>
  <c r="C31" i="25"/>
  <c r="C26" i="25"/>
  <c r="C25" i="25"/>
  <c r="C24" i="25"/>
  <c r="C23" i="25"/>
  <c r="C22" i="25"/>
  <c r="C21" i="25"/>
  <c r="C16" i="25"/>
  <c r="C15" i="25"/>
  <c r="C10" i="25"/>
  <c r="C9" i="25"/>
  <c r="C8" i="25"/>
  <c r="C7" i="25"/>
  <c r="C6" i="25"/>
  <c r="C5" i="25"/>
  <c r="C136" i="23"/>
  <c r="C130" i="23"/>
  <c r="C129" i="23"/>
  <c r="C128" i="23"/>
  <c r="C127" i="23"/>
  <c r="C126" i="23"/>
  <c r="C125" i="23"/>
  <c r="C124" i="23"/>
  <c r="C123" i="23"/>
  <c r="C119" i="23"/>
  <c r="C113" i="23"/>
  <c r="C112" i="23"/>
  <c r="C111" i="23"/>
  <c r="C110" i="23"/>
  <c r="C109" i="23"/>
  <c r="C108" i="23"/>
  <c r="C107" i="23"/>
  <c r="C106" i="23"/>
  <c r="C102" i="23"/>
  <c r="C96" i="23"/>
  <c r="C95" i="23"/>
  <c r="C94" i="23"/>
  <c r="C93" i="23"/>
  <c r="C92" i="23"/>
  <c r="C91" i="23"/>
  <c r="C90" i="23"/>
  <c r="C89" i="23"/>
  <c r="C85" i="23"/>
  <c r="C79" i="23"/>
  <c r="C78" i="23"/>
  <c r="C77" i="23"/>
  <c r="C76" i="23"/>
  <c r="C75" i="23"/>
  <c r="C74" i="23"/>
  <c r="C73" i="23"/>
  <c r="C72" i="23"/>
  <c r="C68" i="23"/>
  <c r="C62" i="23"/>
  <c r="C61" i="23"/>
  <c r="C60" i="23"/>
  <c r="C59" i="23"/>
  <c r="C58" i="23"/>
  <c r="C57" i="23"/>
  <c r="C56" i="23"/>
  <c r="C55" i="23"/>
  <c r="C51" i="23"/>
  <c r="C45" i="23"/>
  <c r="C44" i="23"/>
  <c r="C43" i="23"/>
  <c r="C42" i="23"/>
  <c r="C41" i="23"/>
  <c r="C40" i="23"/>
  <c r="C39" i="23"/>
  <c r="C38" i="23"/>
  <c r="C34" i="23"/>
  <c r="C27" i="23"/>
  <c r="C24" i="23"/>
  <c r="C23" i="23"/>
  <c r="C22" i="23"/>
  <c r="C21" i="23"/>
  <c r="C28" i="23"/>
  <c r="C26" i="23"/>
  <c r="C25" i="23"/>
  <c r="C17" i="23"/>
  <c r="C5" i="23"/>
  <c r="C12" i="23"/>
  <c r="C11" i="23"/>
  <c r="C10" i="23"/>
  <c r="C9" i="23"/>
  <c r="C8" i="23"/>
  <c r="C7" i="23"/>
  <c r="C6" i="23"/>
  <c r="C234" i="22"/>
  <c r="C233" i="22"/>
  <c r="C232" i="22"/>
  <c r="C231" i="22"/>
  <c r="C230" i="22"/>
  <c r="C225" i="22"/>
  <c r="C224" i="22"/>
  <c r="C223" i="22"/>
  <c r="C222" i="22"/>
  <c r="C221" i="22"/>
  <c r="C213" i="22"/>
  <c r="C216" i="22"/>
  <c r="C215" i="22"/>
  <c r="C214" i="22"/>
  <c r="C212" i="22"/>
  <c r="C178" i="22"/>
  <c r="C204" i="22"/>
  <c r="C199" i="22"/>
  <c r="C198" i="22"/>
  <c r="C197" i="22"/>
  <c r="C196" i="22"/>
  <c r="C195" i="22"/>
  <c r="C190" i="22"/>
  <c r="C189" i="22"/>
  <c r="C188" i="22"/>
  <c r="C187" i="22"/>
  <c r="C186" i="22"/>
  <c r="C152" i="22"/>
  <c r="C173" i="22"/>
  <c r="C172" i="22"/>
  <c r="C171" i="22"/>
  <c r="C170" i="22"/>
  <c r="C169" i="22"/>
  <c r="C164" i="22"/>
  <c r="C163" i="22"/>
  <c r="C162" i="22"/>
  <c r="C161" i="22"/>
  <c r="C160" i="22"/>
  <c r="C147" i="22"/>
  <c r="C146" i="22"/>
  <c r="C145" i="22"/>
  <c r="C144" i="22"/>
  <c r="C143" i="22"/>
  <c r="C138" i="22"/>
  <c r="C137" i="22"/>
  <c r="C136" i="22"/>
  <c r="C135" i="22"/>
  <c r="C134" i="22"/>
  <c r="C126" i="22"/>
  <c r="C121" i="22"/>
  <c r="C120" i="22"/>
  <c r="C119" i="22"/>
  <c r="C118" i="22"/>
  <c r="C117" i="22"/>
  <c r="C112" i="22"/>
  <c r="C111" i="22"/>
  <c r="C110" i="22"/>
  <c r="C109" i="22"/>
  <c r="C108" i="22"/>
  <c r="C100" i="22"/>
  <c r="C95" i="22"/>
  <c r="C94" i="22"/>
  <c r="C93" i="22"/>
  <c r="C92" i="22"/>
  <c r="C91" i="22"/>
  <c r="C86" i="22"/>
  <c r="C85" i="22"/>
  <c r="C84" i="22"/>
  <c r="C83" i="22"/>
  <c r="C82" i="22"/>
  <c r="C74" i="22"/>
  <c r="C69" i="22"/>
  <c r="C68" i="22"/>
  <c r="C67" i="22"/>
  <c r="C66" i="22"/>
  <c r="C65" i="22"/>
  <c r="C60" i="22"/>
  <c r="C59" i="22"/>
  <c r="C58" i="22"/>
  <c r="C57" i="22"/>
  <c r="C56" i="22"/>
  <c r="C48" i="22"/>
  <c r="C43" i="22"/>
  <c r="C42" i="22"/>
  <c r="C41" i="22"/>
  <c r="C40" i="22"/>
  <c r="C39" i="22"/>
  <c r="C34" i="22"/>
  <c r="C33" i="22"/>
  <c r="C32" i="22"/>
  <c r="C31" i="22"/>
  <c r="C30" i="22"/>
  <c r="C22" i="22"/>
  <c r="C11" i="22"/>
  <c r="C13" i="22"/>
  <c r="C6" i="22"/>
  <c r="C5" i="22"/>
  <c r="C14" i="22"/>
  <c r="C15" i="22"/>
  <c r="C16" i="22"/>
  <c r="C12" i="22"/>
  <c r="C10" i="22"/>
  <c r="C9" i="22"/>
  <c r="C7" i="22"/>
  <c r="C12" i="21"/>
  <c r="C11" i="21"/>
  <c r="C6" i="21"/>
  <c r="C5" i="21"/>
  <c r="C37" i="14"/>
  <c r="C36" i="14"/>
  <c r="C35" i="14"/>
  <c r="C34" i="14"/>
  <c r="C33" i="14"/>
  <c r="C32" i="14"/>
  <c r="C11" i="14"/>
  <c r="C19" i="14"/>
  <c r="C17" i="14"/>
  <c r="C12" i="14"/>
  <c r="C6" i="14"/>
  <c r="C5" i="14"/>
  <c r="D147" i="23" l="1"/>
  <c r="D150" i="23"/>
  <c r="D146" i="23"/>
  <c r="D149" i="23"/>
  <c r="D141" i="23"/>
  <c r="D142" i="23" s="1"/>
  <c r="C42" i="25"/>
  <c r="D40" i="25" s="1"/>
  <c r="C11" i="25"/>
  <c r="D7" i="25" s="1"/>
  <c r="C33" i="25"/>
  <c r="D31" i="25" s="1"/>
  <c r="C27" i="25"/>
  <c r="D22" i="25" s="1"/>
  <c r="C17" i="25"/>
  <c r="D16" i="25" s="1"/>
  <c r="C131" i="23"/>
  <c r="D124" i="23" s="1"/>
  <c r="C114" i="23"/>
  <c r="D110" i="23" s="1"/>
  <c r="C97" i="23"/>
  <c r="D96" i="23" s="1"/>
  <c r="C80" i="23"/>
  <c r="D73" i="23" s="1"/>
  <c r="C63" i="23"/>
  <c r="D55" i="23" s="1"/>
  <c r="C46" i="23"/>
  <c r="C29" i="23"/>
  <c r="C13" i="23"/>
  <c r="D5" i="23" s="1"/>
  <c r="C235" i="22"/>
  <c r="D232" i="22" s="1"/>
  <c r="C226" i="22"/>
  <c r="D224" i="22" s="1"/>
  <c r="C217" i="22"/>
  <c r="D212" i="22" s="1"/>
  <c r="C207" i="22"/>
  <c r="D206" i="22" s="1"/>
  <c r="C191" i="22"/>
  <c r="D187" i="22" s="1"/>
  <c r="C200" i="22"/>
  <c r="D199" i="22" s="1"/>
  <c r="C181" i="22"/>
  <c r="D180" i="22" s="1"/>
  <c r="C155" i="22"/>
  <c r="C165" i="22"/>
  <c r="D161" i="22" s="1"/>
  <c r="C174" i="22"/>
  <c r="D171" i="22" s="1"/>
  <c r="C148" i="22"/>
  <c r="D146" i="22" s="1"/>
  <c r="C139" i="22"/>
  <c r="D137" i="22" s="1"/>
  <c r="C129" i="22"/>
  <c r="C122" i="22"/>
  <c r="D120" i="22" s="1"/>
  <c r="C113" i="22"/>
  <c r="D111" i="22" s="1"/>
  <c r="C103" i="22"/>
  <c r="D102" i="22" s="1"/>
  <c r="C96" i="22"/>
  <c r="D95" i="22" s="1"/>
  <c r="C87" i="22"/>
  <c r="D86" i="22" s="1"/>
  <c r="C77" i="22"/>
  <c r="D76" i="22" s="1"/>
  <c r="C70" i="22"/>
  <c r="D69" i="22" s="1"/>
  <c r="C61" i="22"/>
  <c r="D60" i="22" s="1"/>
  <c r="C51" i="22"/>
  <c r="C44" i="22"/>
  <c r="D43" i="22" s="1"/>
  <c r="C35" i="22"/>
  <c r="D33" i="22" s="1"/>
  <c r="C25" i="22"/>
  <c r="C13" i="21"/>
  <c r="D11" i="21" s="1"/>
  <c r="C7" i="21"/>
  <c r="D6" i="21" s="1"/>
  <c r="C38" i="14"/>
  <c r="D34" i="14" s="1"/>
  <c r="C27" i="14"/>
  <c r="D24" i="14" s="1"/>
  <c r="C18" i="14"/>
  <c r="D16" i="14" s="1"/>
  <c r="C7" i="14"/>
  <c r="D6" i="14" s="1"/>
  <c r="D33" i="14" l="1"/>
  <c r="D5" i="25"/>
  <c r="D151" i="23"/>
  <c r="D39" i="25"/>
  <c r="D41" i="25"/>
  <c r="D38" i="25"/>
  <c r="D37" i="25"/>
  <c r="D8" i="25"/>
  <c r="D10" i="25"/>
  <c r="D6" i="25"/>
  <c r="D9" i="25"/>
  <c r="D32" i="25"/>
  <c r="D33" i="25" s="1"/>
  <c r="D24" i="25"/>
  <c r="D23" i="25"/>
  <c r="D25" i="25"/>
  <c r="D26" i="25"/>
  <c r="D21" i="25"/>
  <c r="D15" i="25"/>
  <c r="D17" i="25" s="1"/>
  <c r="D127" i="23"/>
  <c r="D126" i="23"/>
  <c r="D128" i="23"/>
  <c r="D125" i="23"/>
  <c r="D129" i="23"/>
  <c r="D130" i="23"/>
  <c r="D123" i="23"/>
  <c r="D108" i="23"/>
  <c r="D113" i="23"/>
  <c r="D111" i="23"/>
  <c r="D109" i="23"/>
  <c r="D107" i="23"/>
  <c r="D112" i="23"/>
  <c r="D106" i="23"/>
  <c r="D90" i="23"/>
  <c r="D89" i="23"/>
  <c r="D91" i="23"/>
  <c r="D92" i="23"/>
  <c r="D93" i="23"/>
  <c r="D94" i="23"/>
  <c r="D95" i="23"/>
  <c r="D74" i="23"/>
  <c r="D75" i="23"/>
  <c r="D76" i="23"/>
  <c r="D77" i="23"/>
  <c r="D78" i="23"/>
  <c r="D79" i="23"/>
  <c r="D72" i="23"/>
  <c r="D57" i="23"/>
  <c r="D61" i="23"/>
  <c r="D56" i="23"/>
  <c r="D62" i="23"/>
  <c r="D60" i="23"/>
  <c r="D58" i="23"/>
  <c r="D59" i="23"/>
  <c r="D45" i="23"/>
  <c r="D43" i="23"/>
  <c r="D41" i="23"/>
  <c r="D40" i="23"/>
  <c r="D39" i="23"/>
  <c r="D42" i="23"/>
  <c r="D44" i="23"/>
  <c r="D38" i="23"/>
  <c r="D26" i="23"/>
  <c r="D22" i="23"/>
  <c r="D25" i="23"/>
  <c r="D21" i="23"/>
  <c r="D24" i="23"/>
  <c r="D23" i="23"/>
  <c r="D27" i="23"/>
  <c r="D28" i="23"/>
  <c r="D12" i="23"/>
  <c r="D8" i="23"/>
  <c r="D11" i="23"/>
  <c r="D9" i="23"/>
  <c r="D6" i="23"/>
  <c r="D10" i="23"/>
  <c r="D7" i="23"/>
  <c r="D234" i="22"/>
  <c r="D231" i="22"/>
  <c r="D230" i="22"/>
  <c r="D233" i="22"/>
  <c r="D223" i="22"/>
  <c r="D221" i="22"/>
  <c r="D222" i="22"/>
  <c r="D225" i="22"/>
  <c r="D215" i="22"/>
  <c r="D213" i="22"/>
  <c r="D216" i="22"/>
  <c r="D214" i="22"/>
  <c r="D204" i="22"/>
  <c r="D205" i="22"/>
  <c r="D197" i="22"/>
  <c r="D196" i="22"/>
  <c r="D178" i="22"/>
  <c r="D190" i="22"/>
  <c r="D195" i="22"/>
  <c r="D198" i="22"/>
  <c r="D186" i="22"/>
  <c r="D189" i="22"/>
  <c r="D188" i="22"/>
  <c r="D179" i="22"/>
  <c r="D169" i="22"/>
  <c r="D170" i="22"/>
  <c r="D152" i="22"/>
  <c r="D153" i="22"/>
  <c r="D154" i="22"/>
  <c r="D172" i="22"/>
  <c r="D173" i="22"/>
  <c r="D163" i="22"/>
  <c r="D164" i="22"/>
  <c r="D160" i="22"/>
  <c r="D162" i="22"/>
  <c r="D145" i="22"/>
  <c r="D144" i="22"/>
  <c r="D147" i="22"/>
  <c r="D143" i="22"/>
  <c r="D136" i="22"/>
  <c r="D135" i="22"/>
  <c r="D138" i="22"/>
  <c r="D134" i="22"/>
  <c r="D126" i="22"/>
  <c r="D128" i="22"/>
  <c r="D127" i="22"/>
  <c r="D119" i="22"/>
  <c r="D118" i="22"/>
  <c r="D121" i="22"/>
  <c r="D117" i="22"/>
  <c r="D108" i="22"/>
  <c r="D110" i="22"/>
  <c r="D109" i="22"/>
  <c r="D112" i="22"/>
  <c r="D101" i="22"/>
  <c r="D100" i="22"/>
  <c r="D94" i="22"/>
  <c r="D93" i="22"/>
  <c r="D92" i="22"/>
  <c r="D91" i="22"/>
  <c r="D82" i="22"/>
  <c r="D85" i="22"/>
  <c r="D84" i="22"/>
  <c r="D83" i="22"/>
  <c r="D74" i="22"/>
  <c r="D75" i="22"/>
  <c r="D65" i="22"/>
  <c r="D68" i="22"/>
  <c r="D66" i="22"/>
  <c r="D67" i="22"/>
  <c r="D56" i="22"/>
  <c r="D58" i="22"/>
  <c r="D59" i="22"/>
  <c r="D57" i="22"/>
  <c r="D49" i="22"/>
  <c r="D48" i="22"/>
  <c r="D50" i="22"/>
  <c r="D42" i="22"/>
  <c r="D41" i="22"/>
  <c r="D40" i="22"/>
  <c r="D39" i="22"/>
  <c r="D30" i="22"/>
  <c r="D32" i="22"/>
  <c r="D31" i="22"/>
  <c r="D34" i="22"/>
  <c r="D22" i="22"/>
  <c r="D23" i="22"/>
  <c r="D24" i="22"/>
  <c r="C17" i="22"/>
  <c r="D12" i="21"/>
  <c r="D13" i="21" s="1"/>
  <c r="D5" i="21"/>
  <c r="D7" i="21" s="1"/>
  <c r="D35" i="14"/>
  <c r="D32" i="14"/>
  <c r="D37" i="14"/>
  <c r="D36" i="14"/>
  <c r="D26" i="14"/>
  <c r="D25" i="14"/>
  <c r="D17" i="14"/>
  <c r="D14" i="14"/>
  <c r="D11" i="14"/>
  <c r="D15" i="14"/>
  <c r="D12" i="14"/>
  <c r="D13" i="14"/>
  <c r="D5" i="14"/>
  <c r="D7" i="14" s="1"/>
  <c r="D11" i="25" l="1"/>
  <c r="D42" i="25"/>
  <c r="D27" i="25"/>
  <c r="D131" i="23"/>
  <c r="D114" i="23"/>
  <c r="D97" i="23"/>
  <c r="D80" i="23"/>
  <c r="D63" i="23"/>
  <c r="D46" i="23"/>
  <c r="D29" i="23"/>
  <c r="D13" i="23"/>
  <c r="D235" i="22"/>
  <c r="D226" i="22"/>
  <c r="D217" i="22"/>
  <c r="D207" i="22"/>
  <c r="D191" i="22"/>
  <c r="D181" i="22"/>
  <c r="D200" i="22"/>
  <c r="D96" i="22"/>
  <c r="D174" i="22"/>
  <c r="D155" i="22"/>
  <c r="D61" i="22"/>
  <c r="D165" i="22"/>
  <c r="D148" i="22"/>
  <c r="D139" i="22"/>
  <c r="D129" i="22"/>
  <c r="D122" i="22"/>
  <c r="D113" i="22"/>
  <c r="D103" i="22"/>
  <c r="D87" i="22"/>
  <c r="D77" i="22"/>
  <c r="D70" i="22"/>
  <c r="D51" i="22"/>
  <c r="D44" i="22"/>
  <c r="D35" i="22"/>
  <c r="D25" i="22"/>
  <c r="D14" i="22"/>
  <c r="D10" i="22"/>
  <c r="D13" i="22"/>
  <c r="D9" i="22"/>
  <c r="D7" i="22"/>
  <c r="D16" i="22"/>
  <c r="D12" i="22"/>
  <c r="D6" i="22"/>
  <c r="D5" i="22"/>
  <c r="D15" i="22"/>
  <c r="D11" i="22"/>
  <c r="D8" i="22"/>
  <c r="D38" i="14"/>
  <c r="D27" i="14"/>
  <c r="D18" i="14"/>
  <c r="D17" i="22" l="1"/>
  <c r="C79" i="10" l="1"/>
  <c r="D77" i="10" s="1"/>
  <c r="D78" i="10" l="1"/>
  <c r="D76" i="10"/>
  <c r="D79" i="10" l="1"/>
</calcChain>
</file>

<file path=xl/sharedStrings.xml><?xml version="1.0" encoding="utf-8"?>
<sst xmlns="http://schemas.openxmlformats.org/spreadsheetml/2006/main" count="2465" uniqueCount="1345">
  <si>
    <t>SURVEY NAME : evaluation_tool SUPERVISOR : JOHN KAPOI KIPTERER</t>
  </si>
  <si>
    <t>Filter Expression : None</t>
  </si>
  <si>
    <t xml:space="preserve"> ID</t>
  </si>
  <si>
    <t>CREATED BY</t>
  </si>
  <si>
    <t>SURVEY NAME</t>
  </si>
  <si>
    <t>SURVEY VERSION</t>
  </si>
  <si>
    <t>START DATE</t>
  </si>
  <si>
    <t>START TIME</t>
  </si>
  <si>
    <t>END DATE</t>
  </si>
  <si>
    <t>END TIME</t>
  </si>
  <si>
    <t>LATITUDE</t>
  </si>
  <si>
    <t>LONGITUDE</t>
  </si>
  <si>
    <t>ACCURACY</t>
  </si>
  <si>
    <t>ALTITUDE</t>
  </si>
  <si>
    <t>SUBMISSION DATE</t>
  </si>
  <si>
    <t>SUBMISSION TIME</t>
  </si>
  <si>
    <t>What type of intervention was completed?</t>
  </si>
  <si>
    <t>In which region is this assessment being captured?</t>
  </si>
  <si>
    <t>District</t>
  </si>
  <si>
    <t>What is your settlement name?</t>
  </si>
  <si>
    <t>Family members: male 0-4 years</t>
  </si>
  <si>
    <t>Family members: male 5-11 years</t>
  </si>
  <si>
    <t>Family members: male 12-17 years</t>
  </si>
  <si>
    <t>Family members: male 18-24 years</t>
  </si>
  <si>
    <t>Family members: male 25-59 years</t>
  </si>
  <si>
    <t>Family members: male 60 and more years</t>
  </si>
  <si>
    <t>Total male members of the family</t>
  </si>
  <si>
    <t>Family members: female 0-4 years</t>
  </si>
  <si>
    <t>Family members: female 5-11 years</t>
  </si>
  <si>
    <t>Family members: female 12-17 years</t>
  </si>
  <si>
    <t>Family members: female 18-24 years</t>
  </si>
  <si>
    <t>Family members: female 25-59 years</t>
  </si>
  <si>
    <t>Family members: female 60 and more years</t>
  </si>
  <si>
    <t>Total female members of the family</t>
  </si>
  <si>
    <t>Are there any of your family members that are not living with you currently but will join you in the next 6 months?</t>
  </si>
  <si>
    <t>How many?</t>
  </si>
  <si>
    <t>Is this a single-headed household?</t>
  </si>
  <si>
    <t>How many pregnant and/or lactating women are there in the household?</t>
  </si>
  <si>
    <t>How many people with PHYSICAL and/or MENTAL impairments are there in your household?</t>
  </si>
  <si>
    <t>Region</t>
  </si>
  <si>
    <t>Why did you leave your place of origin?</t>
  </si>
  <si>
    <t>Please specify</t>
  </si>
  <si>
    <t>How long ago did you first leave your place of origin?</t>
  </si>
  <si>
    <t>When did you arrive at this location?</t>
  </si>
  <si>
    <t>What was your main motivation for moving to this settlement?</t>
  </si>
  <si>
    <t>What are your plans in the next 6 months?</t>
  </si>
  <si>
    <t>Under what conditions do you want to return?</t>
  </si>
  <si>
    <t>When you leave here, what are you going to do with your current shelter?</t>
  </si>
  <si>
    <t>If you will sell, how much do you think it is in US Dollars?</t>
  </si>
  <si>
    <t>If you are going to stay in current location (here), what is the reason?</t>
  </si>
  <si>
    <t>Is there any obstacle to remaining in your present location permanently?</t>
  </si>
  <si>
    <t>How long will you stay here?</t>
  </si>
  <si>
    <t>If you are going to relocate in the same district, what is the reason?</t>
  </si>
  <si>
    <t>If you sell, how much do you think it will be worth in US Dollars?</t>
  </si>
  <si>
    <t>How long will you stay in the same district?</t>
  </si>
  <si>
    <t>If you are going to relocate elsewhere, what is the reason?</t>
  </si>
  <si>
    <t>Food</t>
  </si>
  <si>
    <t>Water</t>
  </si>
  <si>
    <t>Shelter Items/Material</t>
  </si>
  <si>
    <t>Health</t>
  </si>
  <si>
    <t>Education</t>
  </si>
  <si>
    <t>Firewood/charcoal</t>
  </si>
  <si>
    <t>NFI</t>
  </si>
  <si>
    <t>Rent of land</t>
  </si>
  <si>
    <t>What form of livelihood is your households main form of income?</t>
  </si>
  <si>
    <t>Where is your households main source of livelihood?</t>
  </si>
  <si>
    <t>How many minutes does it take you to get to your households main source of livelihood?</t>
  </si>
  <si>
    <t>How much income does your Household EARN per day in US Dollars?</t>
  </si>
  <si>
    <t>How many days per month does your household work?</t>
  </si>
  <si>
    <t>Does your Household pay rent on the land you are living currently?</t>
  </si>
  <si>
    <t>If yes, how?</t>
  </si>
  <si>
    <t>If yes, what is the average amount you pay per month? US Dollars</t>
  </si>
  <si>
    <t>Do you have access to a market within walking distance?</t>
  </si>
  <si>
    <t>If yes, How far is it by walking in minutes?</t>
  </si>
  <si>
    <t>How often do you travel to the market per week?</t>
  </si>
  <si>
    <t>If yes, what kind of items are sold there?</t>
  </si>
  <si>
    <t>Is the owners plot of land being used for crops?</t>
  </si>
  <si>
    <t>Is the owners plot of land being used for holding animals?</t>
  </si>
  <si>
    <t>What kind of direct distribution did you receive</t>
  </si>
  <si>
    <t>If other please specify</t>
  </si>
  <si>
    <t>How many plastic sheets did the household recieve?</t>
  </si>
  <si>
    <t>What is their quality?</t>
  </si>
  <si>
    <t>How useful are they?</t>
  </si>
  <si>
    <t>What is the actual use of these plastic sheets?</t>
  </si>
  <si>
    <t>If sold, how much?</t>
  </si>
  <si>
    <t>How many blankets did the household recieve?</t>
  </si>
  <si>
    <t>How usefull are they?</t>
  </si>
  <si>
    <t>What is the actual use of these blankets?</t>
  </si>
  <si>
    <t>How many sleeping mats did the household recieve?</t>
  </si>
  <si>
    <t>What is the actual use of these sleeping mats?</t>
  </si>
  <si>
    <t>How many kitchen sets did the household recieve?</t>
  </si>
  <si>
    <t>What is the actual use of these kitchen sets?</t>
  </si>
  <si>
    <t>How many Jerry cans did the household recieve?</t>
  </si>
  <si>
    <t>What is the actual use of these Jerry cans?</t>
  </si>
  <si>
    <t>How many sanitary items did the household recieve?</t>
  </si>
  <si>
    <t>What is the actual use of these sanitary items?</t>
  </si>
  <si>
    <t>How many bars of soap did the household recieve?</t>
  </si>
  <si>
    <t>What is the actual use of these Bar soap?</t>
  </si>
  <si>
    <t>How many wash basins did the household recieve?</t>
  </si>
  <si>
    <t>What is the actual use of these wash basin?</t>
  </si>
  <si>
    <t>What shelter items did you recieve?</t>
  </si>
  <si>
    <t>What other items would you prefer to recieve?</t>
  </si>
  <si>
    <t>What other items would you have preferred which you did not receive or need more of?</t>
  </si>
  <si>
    <t>If items sold or exchanged in Question D.7, what for?</t>
  </si>
  <si>
    <t>If food was received through the sale or exchange of other items, which type of food was received?</t>
  </si>
  <si>
    <t>If yes, describe</t>
  </si>
  <si>
    <t>What items was the cash you received supposed to be used for?</t>
  </si>
  <si>
    <t>How much did you receive for plastic sheet?</t>
  </si>
  <si>
    <t>What was the actual cost for the plastic sheet?</t>
  </si>
  <si>
    <t>What was the actual use of the plastic sheets?</t>
  </si>
  <si>
    <t>If alternative, why not use for integerended purpose?</t>
  </si>
  <si>
    <t>How much did you receive for Blanket?</t>
  </si>
  <si>
    <t>What was the actual cost for the Blanket?</t>
  </si>
  <si>
    <t>What was the actual use of the Blanket?</t>
  </si>
  <si>
    <t>How much did you receive for sleeping mat?</t>
  </si>
  <si>
    <t>What was the actual cost for the sleeping mat?</t>
  </si>
  <si>
    <t>What was the actual use of the sleeping mat?</t>
  </si>
  <si>
    <t>How much did you receive for kitchen set?</t>
  </si>
  <si>
    <t>What was the actual cost for the kitchen set?</t>
  </si>
  <si>
    <t>What was the actual use of the kitchen set?</t>
  </si>
  <si>
    <t>How much did you receive for jerry cans?</t>
  </si>
  <si>
    <t>What was the actual cost for the jerry cans?</t>
  </si>
  <si>
    <t>What was the actual use of the jerry cans?</t>
  </si>
  <si>
    <t>How much did you receive Sanitary items?</t>
  </si>
  <si>
    <t>What was the actual cost for the Sanitary items?</t>
  </si>
  <si>
    <t>What was the actual use of the Sanitary items?</t>
  </si>
  <si>
    <t>How much did you receive for Bar soap?</t>
  </si>
  <si>
    <t>What was the actual cost for the bar soap?</t>
  </si>
  <si>
    <t>What was the actual use of the bar soap?</t>
  </si>
  <si>
    <t>How much did you receive wash basin?</t>
  </si>
  <si>
    <t>What was the actual cost for the wash basin?</t>
  </si>
  <si>
    <t>What was the actual use of the wash basin?</t>
  </si>
  <si>
    <t>How much did you receive shelter items?</t>
  </si>
  <si>
    <t>What was the actual cost for the shelter items?</t>
  </si>
  <si>
    <t>What was the actual use of the shelter items?</t>
  </si>
  <si>
    <t>If items stolen in Question E.5, by whom?</t>
  </si>
  <si>
    <t>Do you agree that the voucher process is simple and easy to follow?</t>
  </si>
  <si>
    <t>How would you describe your relationship with the host community over the past year? (very good, good, fair, bad, very bad, don't know)</t>
  </si>
  <si>
    <t>Do you interact with the local community?</t>
  </si>
  <si>
    <t>If yes, What is the main way you integereract with the local community?</t>
  </si>
  <si>
    <t>Have you faced any problems with the host community?</t>
  </si>
  <si>
    <t>If yes, what issues have you faced?</t>
  </si>
  <si>
    <t>What is your land tenure status before receiving shelter support?</t>
  </si>
  <si>
    <t>What is your land tenure status now?</t>
  </si>
  <si>
    <t>Do you have a certificate proving your land status?</t>
  </si>
  <si>
    <t>Do you feel secure on your land?</t>
  </si>
  <si>
    <t>Do you now consider this settlement your home?</t>
  </si>
  <si>
    <t>Who else is living on your plot with you?</t>
  </si>
  <si>
    <t>Have you ever faced threat of eviction in this settlement?</t>
  </si>
  <si>
    <t>What would be most useful to meet your SHELTER immediate needs?</t>
  </si>
  <si>
    <t>Other shelter needs</t>
  </si>
  <si>
    <t>Have you and/or member of your household completed any shelter specific trainings in the last 6 months</t>
  </si>
  <si>
    <t>If shelter maintegerance training, how useful was it?</t>
  </si>
  <si>
    <t>Have you used the skills to do any Maintenancewithin/outside the settlement?</t>
  </si>
  <si>
    <t>If yes, please specify where</t>
  </si>
  <si>
    <t>Were you and/or members of your household involved in the shelter planning process</t>
  </si>
  <si>
    <t>If yes, please specify</t>
  </si>
  <si>
    <t>How did you get the shelter you are living in now?</t>
  </si>
  <si>
    <t>If you built your own, how did you get materials?</t>
  </si>
  <si>
    <t>If you built your shelter by own, how did you get labor?</t>
  </si>
  <si>
    <t>Has the owner upgraded their shelter?</t>
  </si>
  <si>
    <t>If no, Why not?</t>
  </si>
  <si>
    <t>How has the owner upgraded their shelters?</t>
  </si>
  <si>
    <t>Does your shelter require improvements?</t>
  </si>
  <si>
    <t>What can be done to improve your structure?</t>
  </si>
  <si>
    <t>If you were provided material support would you be able to upgrade your shelter?</t>
  </si>
  <si>
    <t>What kind of natural resources are locally available for construction?</t>
  </si>
  <si>
    <t>What Kind of Shelter would you like to live in?</t>
  </si>
  <si>
    <t>Other shelter to live in.</t>
  </si>
  <si>
    <t>Have you received any shelter support in this settlement?</t>
  </si>
  <si>
    <t>Are you satisfied with the shelter assistance you received?</t>
  </si>
  <si>
    <t>What support have you received?</t>
  </si>
  <si>
    <t>What kind of organisation provided this support?</t>
  </si>
  <si>
    <t>Rain</t>
  </si>
  <si>
    <t>Wind</t>
  </si>
  <si>
    <t>Temperature</t>
  </si>
  <si>
    <t>Land</t>
  </si>
  <si>
    <t>Space</t>
  </si>
  <si>
    <t>Privacy</t>
  </si>
  <si>
    <t>Thefts / Burglary</t>
  </si>
  <si>
    <t>Violence / Aggression</t>
  </si>
  <si>
    <t>Have you received hygiene items in the last three months?</t>
  </si>
  <si>
    <t>if yes, what items have item have you received</t>
  </si>
  <si>
    <t>Other hygiene items</t>
  </si>
  <si>
    <t>What items do you use to bathe?</t>
  </si>
  <si>
    <t>What do people in your household use to wash their hands?</t>
  </si>
  <si>
    <t>What fuel do you use for cooking?</t>
  </si>
  <si>
    <t>Where does your household collect fuel for cooking?</t>
  </si>
  <si>
    <t>Do you have access to a latrine within 50 meters of your shelter?</t>
  </si>
  <si>
    <t>IF yes, Is the latrine private or communal?</t>
  </si>
  <si>
    <t>If communal, on average how many HHs use this latrine?</t>
  </si>
  <si>
    <t>If yes, are the latrines separated by gender?</t>
  </si>
  <si>
    <t>If not where do you defecate?</t>
  </si>
  <si>
    <t>Do you dispose of your domestic wastes?</t>
  </si>
  <si>
    <t>How</t>
  </si>
  <si>
    <t>Where</t>
  </si>
  <si>
    <t>What shelter items do you have?</t>
  </si>
  <si>
    <t>What non-food items do you have?</t>
  </si>
  <si>
    <t>How many plastic sheets does the household have?</t>
  </si>
  <si>
    <t>How many jerrycans can you see that are usable/in use? Do not count items that are totally unusable.</t>
  </si>
  <si>
    <t>What is the total combined capacity of these jerrycans, in litres?</t>
  </si>
  <si>
    <t>How many of the usable/in use jerrycans are worn out or of poor quality? (Worn out means that the functionality of the jerrycan is reduced or compromised, e.g. by a hole.)</t>
  </si>
  <si>
    <t>What is the total capacity of all the worn out jerrycans, in litres?</t>
  </si>
  <si>
    <t>Ask the HH whether there are any other jerrycans that are not currently visible (e.g. because they are being used outside the HH), and if so how many litres they hold. Please provide the combined capacity in litres.</t>
  </si>
  <si>
    <t>How did the household obtain these jerrycans?</t>
  </si>
  <si>
    <t>How does the household use these jerrycans?</t>
  </si>
  <si>
    <t>If sold, how much in Somali Shillings?</t>
  </si>
  <si>
    <t>How many cooking pots do you see that are usable/in use? Only include cooking pots with a capacity of 5L or more. Do not count items that are unusable.</t>
  </si>
  <si>
    <t>How many of the usable/in use cooking pots are worn out or of poor quality? (Worn out means that the functionality of the pot is reduced or compromised, e.g. by a hole.)</t>
  </si>
  <si>
    <t>Ask the HH whether there are any other cooking pots that are not currently visible (e.g. because they are being used outside the HH), and if so how many.</t>
  </si>
  <si>
    <t>How did the household obtain these cooking pots?</t>
  </si>
  <si>
    <t>How does the household use thesecooking pots?</t>
  </si>
  <si>
    <t>How many wash basins do you see that are usable/in use? Only include wash basins with a capacity of 10L or more. Do not count items that are unusable.</t>
  </si>
  <si>
    <t>How many of the usable/in use wash basins are worn out or of poor quality? (Worn out means that the functionality of the wash basin is reduced or compromised, e.g. by a hole.)</t>
  </si>
  <si>
    <t>Ask the HH whether there are any other wash basins that are not currently visible (e.g. because they are being used outside the HH), and if so how many.</t>
  </si>
  <si>
    <t>How did the household obtain these wash basins?</t>
  </si>
  <si>
    <t>How does the household use these wash basins?</t>
  </si>
  <si>
    <t>How many mats do you see that are usable/in use? Do not count items that are unusable.</t>
  </si>
  <si>
    <t>What is the total capacity of the mats owned by the HH, in number of people? In other words, how many people can sleep comfortably on the mats at the same time?</t>
  </si>
  <si>
    <t>How many of the usable/in use mats are worn out or of poor quality? (Worn out means that the functionality of the mat is reduced or compromised, e.g. by a hole.)</t>
  </si>
  <si>
    <t>How many total people can comfortably sleep on all the worn out mats?</t>
  </si>
  <si>
    <t>Ask the HH whether there are any other mats that are not currently visible (e.g. because they are being used outside the HH), and if so how many people comfortably sleep on them.</t>
  </si>
  <si>
    <t>How did the household obtain these mats?</t>
  </si>
  <si>
    <t>How does the household use these mats?</t>
  </si>
  <si>
    <t>How many blankets do you see that are usable/in use? Do not count items that are unusable.</t>
  </si>
  <si>
    <t>What is the total capacity of the blankets owned by the HH, in number of people? In other words, how many people can comfortably use the blankets at the same time?</t>
  </si>
  <si>
    <t>How many of the usable/in use blankets are worn out or of poor quality? (Worn out means that the functionality of the blanket is reduced or compromised, e.g. by a hole.)</t>
  </si>
  <si>
    <t>What is the total capacity of the all worn out blankets, in people?</t>
  </si>
  <si>
    <t>Ask the HH whether there are any other blankets that are not currently visible (e.g. because they are being used outside the HH), and if so how many.</t>
  </si>
  <si>
    <t>How many knives do you see that are usable/in use? Do not count items that are unusable.</t>
  </si>
  <si>
    <t>How many of the usable/in use knives are worn out or of poor quality? (Worn out means that the functionality of the knife is reduced or compromised, e.g. by bluntness.)</t>
  </si>
  <si>
    <t>Ask the HH whether there are any other knives that are not currently visible (e.g. because they are being used outside the HH), and if so how many.</t>
  </si>
  <si>
    <t>How did the household obtain these knives?</t>
  </si>
  <si>
    <t>What is your main source of water?</t>
  </si>
  <si>
    <t>Other water type</t>
  </si>
  <si>
    <t>What is the distance from your main water source in walking minutes?</t>
  </si>
  <si>
    <t>Do you use this water source for:</t>
  </si>
  <si>
    <t>Water source1 other use</t>
  </si>
  <si>
    <t>How long do you spend waiting in minutes?</t>
  </si>
  <si>
    <t>Is your main source reliable?</t>
  </si>
  <si>
    <t>Do you pay for water?</t>
  </si>
  <si>
    <t>If yes, how much in Somali Shillings for 20 litres?</t>
  </si>
  <si>
    <t>How often do you collect water for your home per day?</t>
  </si>
  <si>
    <t>How do you transport the water to your home?</t>
  </si>
  <si>
    <t>How many litres of water are available in the HH per day?</t>
  </si>
  <si>
    <t>Do you use the same container for transport and storage?</t>
  </si>
  <si>
    <t>Do you treat your drinking water?</t>
  </si>
  <si>
    <t>How?</t>
  </si>
  <si>
    <t>Do you and/or any members of your household fear for physical safety?</t>
  </si>
  <si>
    <t>Where do you feel is unsafe for you and/or members of your household?</t>
  </si>
  <si>
    <t>How do you and/or members of your household cope with that?</t>
  </si>
  <si>
    <t>What is your primary source of light?</t>
  </si>
  <si>
    <t>Is/are your child/children attending School?</t>
  </si>
  <si>
    <t>Boys between 5 and 17 attending school</t>
  </si>
  <si>
    <t>Girls between 5 and 17 attending school</t>
  </si>
  <si>
    <t>What is your childrens primary type of schooling?</t>
  </si>
  <si>
    <t>Where is the school facility located?</t>
  </si>
  <si>
    <t>Is there a fee for your children to go to school?</t>
  </si>
  <si>
    <t>if yes, how much in US Dollars per month?</t>
  </si>
  <si>
    <t>What type of shelter is it?</t>
  </si>
  <si>
    <t>How many square metres is the plot?</t>
  </si>
  <si>
    <t>How many structures (tents/buuls/houses) are their present on the plot?</t>
  </si>
  <si>
    <t>Please specify the use of your first shelter</t>
  </si>
  <si>
    <t>Other shelter 1 use</t>
  </si>
  <si>
    <t>Please specify the use of your second shelter</t>
  </si>
  <si>
    <t>Other shelter 2 use</t>
  </si>
  <si>
    <t>Please specify the use of your third shelter</t>
  </si>
  <si>
    <t>Please specify the use of your fourth shelter</t>
  </si>
  <si>
    <t>Please specify the use of your fifth shelter</t>
  </si>
  <si>
    <t>Please specify the use of your sixth shelter</t>
  </si>
  <si>
    <t>What is the age of the permanent house in months?</t>
  </si>
  <si>
    <t>Can you see daylight through the roof of the house?</t>
  </si>
  <si>
    <t>Are there any separated sleeping spaces?</t>
  </si>
  <si>
    <t>Describe the house conditions</t>
  </si>
  <si>
    <t>Can you lock the door from inside the house?</t>
  </si>
  <si>
    <t>Can you lock the door from outside the house?</t>
  </si>
  <si>
    <t>Can you lock the window?</t>
  </si>
  <si>
    <t>Is there a physical barrier/fence around the plot?</t>
  </si>
  <si>
    <t>What is the age of the tent in months?</t>
  </si>
  <si>
    <t>Please describe the type of the tent</t>
  </si>
  <si>
    <t>The tent has been improved by the HH?</t>
  </si>
  <si>
    <t>Please explain how</t>
  </si>
  <si>
    <t>Describe the tent conditions</t>
  </si>
  <si>
    <t>What is the age of the buul in months?</t>
  </si>
  <si>
    <t>Does the buul have more than one layer ?</t>
  </si>
  <si>
    <t>Does the buul have a door?</t>
  </si>
  <si>
    <t>Can you lock the door from inside the buul</t>
  </si>
  <si>
    <t>Can you lock the door from outside the buul</t>
  </si>
  <si>
    <t>Do you see any big hole in buul coverage?</t>
  </si>
  <si>
    <t>Can you see daylight through the roof of the buul?</t>
  </si>
  <si>
    <t>Are there any separated sleeping spaces ?</t>
  </si>
  <si>
    <t>Which are the materials used to build buul's floor</t>
  </si>
  <si>
    <t>Which are the materials used to build buul's integerernal structure?</t>
  </si>
  <si>
    <t>Which are the materials used to build Shelter walls and Roof?</t>
  </si>
  <si>
    <t>Describe the buul conditions</t>
  </si>
  <si>
    <t>What is the age of the shelter in months?</t>
  </si>
  <si>
    <t>What kind of shelter is the family currently living in?</t>
  </si>
  <si>
    <t>Does the Shelter have a door ?</t>
  </si>
  <si>
    <t>Can you lock the door from inside</t>
  </si>
  <si>
    <t>Can you lock the door from outside</t>
  </si>
  <si>
    <t>Which are the materials used to build Shelter floor?</t>
  </si>
  <si>
    <t>Which are the materials used to build Shelter integerernal structure ?</t>
  </si>
  <si>
    <t>Which are the materials used to build Shelter walls?</t>
  </si>
  <si>
    <t>Which are the materials used to build Shelter roof?</t>
  </si>
  <si>
    <t>Please specify the dimension of the shelter: width in meters</t>
  </si>
  <si>
    <t>Please specify the dimension of the shelter: length in meters</t>
  </si>
  <si>
    <t>Please specify the dimension of the shelter: height in meters</t>
  </si>
  <si>
    <t>Select one of the categories that best describes the CURRENT shelter conditions</t>
  </si>
  <si>
    <t>Please take a picture of the main shelter</t>
  </si>
  <si>
    <t>Would you recycle any of the items received?</t>
  </si>
  <si>
    <t>Are you aware of a complainteger mechanism?</t>
  </si>
  <si>
    <t>Do you have access to functioning basic services?</t>
  </si>
  <si>
    <t>If yes, what kind of the functioning basic servises do you have access to?</t>
  </si>
  <si>
    <t>If other, please specify.</t>
  </si>
  <si>
    <t>ID</t>
  </si>
  <si>
    <t>WHAT_IS_THE_SURVEY_ABOUT</t>
  </si>
  <si>
    <t>REGION</t>
  </si>
  <si>
    <t>DISTRICT_Awdal</t>
  </si>
  <si>
    <t>DISTRICT_Bakool</t>
  </si>
  <si>
    <t>DISTRICT_Banaadir</t>
  </si>
  <si>
    <t>DISTRICT_Bari</t>
  </si>
  <si>
    <t>DISTRICT_Bay</t>
  </si>
  <si>
    <t>DISTRICT_galgudud</t>
  </si>
  <si>
    <t>DISTRICT_gedo</t>
  </si>
  <si>
    <t>DISTRICT_Hiraan</t>
  </si>
  <si>
    <t>DISTRICT_middle_juba</t>
  </si>
  <si>
    <t>DISTRICT_lower_juba</t>
  </si>
  <si>
    <t>DISTRICT_mudug</t>
  </si>
  <si>
    <t>DISTRICT_nugaal</t>
  </si>
  <si>
    <t>DISTRICT_sanaag</t>
  </si>
  <si>
    <t>DISTRICT_middle_shebele</t>
  </si>
  <si>
    <t>DISTRICT_lower_shebele</t>
  </si>
  <si>
    <t>DISTRICT_sool</t>
  </si>
  <si>
    <t>DISTRICT_togdheer</t>
  </si>
  <si>
    <t>DISTRICT_woqooyi_galbeed</t>
  </si>
  <si>
    <t>settlement</t>
  </si>
  <si>
    <t>nb_male_people_family_to_4</t>
  </si>
  <si>
    <t>nb_male_people_family_to_11</t>
  </si>
  <si>
    <t>nb_male_people_family_to_17</t>
  </si>
  <si>
    <t>nb_male_people_family_to_24</t>
  </si>
  <si>
    <t>nb_male_people_family_to_59</t>
  </si>
  <si>
    <t>nb_male_people_family_more_60</t>
  </si>
  <si>
    <t>nb_male_people_family</t>
  </si>
  <si>
    <t>nb_female_people_family_to_4</t>
  </si>
  <si>
    <t>nb_female_people_family_to_11</t>
  </si>
  <si>
    <t>nb_female_people_family_to_17</t>
  </si>
  <si>
    <t>nb_female_people_family_to_24</t>
  </si>
  <si>
    <t>nb_female_people_family_to_59</t>
  </si>
  <si>
    <t>nb_female_people_family_more_60</t>
  </si>
  <si>
    <t>nb_female_people_family</t>
  </si>
  <si>
    <t>family_join_next_6mnths</t>
  </si>
  <si>
    <t>family_join_next_6mnths_hw_mny</t>
  </si>
  <si>
    <t>household_type</t>
  </si>
  <si>
    <t>pregnant_nb</t>
  </si>
  <si>
    <t>physical_impairement_nb</t>
  </si>
  <si>
    <t>regionB</t>
  </si>
  <si>
    <t>districtB_awdal</t>
  </si>
  <si>
    <t>districtB_bakool</t>
  </si>
  <si>
    <t>districtB_banaadir</t>
  </si>
  <si>
    <t>districtB_bari</t>
  </si>
  <si>
    <t>districtB_bay</t>
  </si>
  <si>
    <t>districtB_galguduud</t>
  </si>
  <si>
    <t>districtB_gedo</t>
  </si>
  <si>
    <t>districtB_hiiraan</t>
  </si>
  <si>
    <t>districtB_middle_juba</t>
  </si>
  <si>
    <t>districtB_lower_juba</t>
  </si>
  <si>
    <t>districtB_mudug</t>
  </si>
  <si>
    <t>districtB_nugaal</t>
  </si>
  <si>
    <t>districtB_sanaag</t>
  </si>
  <si>
    <t>districtB_middle_shabele</t>
  </si>
  <si>
    <t>districtB_lower_shabele</t>
  </si>
  <si>
    <t>districtB_sool</t>
  </si>
  <si>
    <t>districtB_togdheer</t>
  </si>
  <si>
    <t>districtB_woqooyi_galbeed</t>
  </si>
  <si>
    <t>why_leave</t>
  </si>
  <si>
    <t>why_leave_other</t>
  </si>
  <si>
    <t>how_long_first_live_home</t>
  </si>
  <si>
    <t>when_arriving</t>
  </si>
  <si>
    <t>reason_moving</t>
  </si>
  <si>
    <t>reason_moving_other</t>
  </si>
  <si>
    <t>plan_next_6_months</t>
  </si>
  <si>
    <t>return_conditions</t>
  </si>
  <si>
    <t>return_conditions_other</t>
  </si>
  <si>
    <t>return_shelter</t>
  </si>
  <si>
    <t>return_shelter_other</t>
  </si>
  <si>
    <t>return_shelter_price</t>
  </si>
  <si>
    <t>current_location_reason</t>
  </si>
  <si>
    <t>current_location_reason_other</t>
  </si>
  <si>
    <t>current_location_obstacles</t>
  </si>
  <si>
    <t>current_location_obstacles_other</t>
  </si>
  <si>
    <t>current_location_how_long</t>
  </si>
  <si>
    <t>same_district_reason</t>
  </si>
  <si>
    <t>same_district_reason_other</t>
  </si>
  <si>
    <t>do_shelter_sdistrict</t>
  </si>
  <si>
    <t>do_shelter_sdistrict_other</t>
  </si>
  <si>
    <t>do_shelter_sdistrict_price</t>
  </si>
  <si>
    <t>same_district_how_long</t>
  </si>
  <si>
    <t>elsewhere_reason</t>
  </si>
  <si>
    <t>elsewhere_reason_other</t>
  </si>
  <si>
    <t>do_shelter</t>
  </si>
  <si>
    <t>do_shelter_other</t>
  </si>
  <si>
    <t>do_shelter_price</t>
  </si>
  <si>
    <t>expenditure_rank_food</t>
  </si>
  <si>
    <t>expenditure_rank_water</t>
  </si>
  <si>
    <t>expenditure_rank_sh_item_mat</t>
  </si>
  <si>
    <t>expenditure_rank_health</t>
  </si>
  <si>
    <t>expenditure_rank_education</t>
  </si>
  <si>
    <t>expenditure_rank_fwood_charco</t>
  </si>
  <si>
    <t>expenditure_rank_NFI</t>
  </si>
  <si>
    <t>expenditure_rank_rent_land</t>
  </si>
  <si>
    <t>current_livelihood</t>
  </si>
  <si>
    <t>current_livelihood_other</t>
  </si>
  <si>
    <t>hh_main_source_livelihood</t>
  </si>
  <si>
    <t>hh_main_source_livelihood_min</t>
  </si>
  <si>
    <t>income_value_US_DOLLARS</t>
  </si>
  <si>
    <t>HOUSEHOLD_WORK_PER_MONTH</t>
  </si>
  <si>
    <t>household_pay_rent</t>
  </si>
  <si>
    <t>payment_mode</t>
  </si>
  <si>
    <t>payment_amount</t>
  </si>
  <si>
    <t>market</t>
  </si>
  <si>
    <t>market_distance</t>
  </si>
  <si>
    <t>TRAVEL_MARKET_PER_WEEK</t>
  </si>
  <si>
    <t>kind_of_items_sold</t>
  </si>
  <si>
    <t>market_items_other</t>
  </si>
  <si>
    <t>plot_used_for_crops</t>
  </si>
  <si>
    <t>plot_used_for_animals</t>
  </si>
  <si>
    <t>DIRECT_DISRIBUTION_RECIEVE</t>
  </si>
  <si>
    <t>DIRECT_DISRIBUTION_OTHER</t>
  </si>
  <si>
    <t>PLASTIC_SHEET_QUANTITY</t>
  </si>
  <si>
    <t>PLASTIC_SHEET_QUALITY</t>
  </si>
  <si>
    <t>PLASTIC_SHEET_HOW_USEFULL</t>
  </si>
  <si>
    <t>PLASTIC_SHEET_ACTUAL_USE</t>
  </si>
  <si>
    <t>PLASTIC_SHEET_SOLD_PRICE</t>
  </si>
  <si>
    <t>BLANKETS_RECIEVED_QUANTITY</t>
  </si>
  <si>
    <t>BLANKETS_RECIEVED_QUALITY</t>
  </si>
  <si>
    <t>BLANKETS_RECIEVED_ACTUAL_USE</t>
  </si>
  <si>
    <t>BLANKETS_RECIEVED_SOLD_PRICE</t>
  </si>
  <si>
    <t>SLEEPING_MAT_QUANTITY_RECIEVED</t>
  </si>
  <si>
    <t>SLEEPING_MAT_QUALLITY_RECIEVED</t>
  </si>
  <si>
    <t>SLEEPING_MAT_HOW_USEFULL</t>
  </si>
  <si>
    <t>SLEEPING_MAT_ACTUAL_USE</t>
  </si>
  <si>
    <t>SLEEPING_MAT_SOLD_PRICE</t>
  </si>
  <si>
    <t>KITCHEN_SET_QUANTITY_RECIEVED</t>
  </si>
  <si>
    <t>KITCHEN_SET_QUALITY_RECIEVED</t>
  </si>
  <si>
    <t>KITCHEN_SET_USEFULL</t>
  </si>
  <si>
    <t>KITCHEN_SET_ACTUAL_USE</t>
  </si>
  <si>
    <t>KITCHEN_SOLD_PRICE</t>
  </si>
  <si>
    <t>JERRY_CANS_QUANTITY_RECIEVED</t>
  </si>
  <si>
    <t>JERRY_CANS_QUALITY</t>
  </si>
  <si>
    <t>JERRY_CANS_HOW_USEFULL</t>
  </si>
  <si>
    <t>JERRY_CANS_ACTUAL_USE</t>
  </si>
  <si>
    <t>JERRY_CANS_SOLD_PRICE</t>
  </si>
  <si>
    <t>SANITARY_ITEMS_QUANTITY_RECIEVED</t>
  </si>
  <si>
    <t>SANITARY_ITEMS_QUALITY</t>
  </si>
  <si>
    <t>SANITARY_ITEMS_HOW_USEFULL</t>
  </si>
  <si>
    <t>SANITARY_ITEMS_ACTUAL_USE</t>
  </si>
  <si>
    <t>SANITARY_ITEMS_SOLD_PRICE</t>
  </si>
  <si>
    <t>BAR_SOAP_QUANTITY_RECIEVED</t>
  </si>
  <si>
    <t>BAR_SOAP_QUALITY</t>
  </si>
  <si>
    <t>BAR_SOAP_HOW_USEFULL</t>
  </si>
  <si>
    <t>BAR_SOAP_ACTUAL_USE</t>
  </si>
  <si>
    <t>BAR_SOAP_SOLD_PRICE</t>
  </si>
  <si>
    <t>WASH_BASIN_QUANTITY_RECEIVED</t>
  </si>
  <si>
    <t>WASH_BASIN_QUALITY</t>
  </si>
  <si>
    <t>WASH_BASIN_HOW_USEFULL</t>
  </si>
  <si>
    <t>WASH_BASIN_ACTUAL_USE</t>
  </si>
  <si>
    <t>WASH_BASIN_SOLD_PRICE</t>
  </si>
  <si>
    <t>WHAT_SHELTER_ITEM_HAVE</t>
  </si>
  <si>
    <t>WHAT_OTHER_ITEM_PREFER</t>
  </si>
  <si>
    <t>WHAT_OTHER_ITEM_PREFER_RECIEVE</t>
  </si>
  <si>
    <t>WHAT_OTHER_ITEM_SOLD_FOR</t>
  </si>
  <si>
    <t>WHAT_OTHER_ITEM_EXCHANGED_FOR</t>
  </si>
  <si>
    <t>WHAT_OTHER_ITEM_EXCHAN_OTHER</t>
  </si>
  <si>
    <t>WHAT_OTHER_TYPE_FOOD_RECIEVED</t>
  </si>
  <si>
    <t>DISTRIBUTION_SEC_PROB_AFTER_DESC</t>
  </si>
  <si>
    <t>CASH_RECEIVED_ITEM_FOR</t>
  </si>
  <si>
    <t>CASH_RECEIVED_PLASTIC_SHEET</t>
  </si>
  <si>
    <t>CASH_COST_PLASTIC_SHEET</t>
  </si>
  <si>
    <t>CASH_PLASTIC_SHEET_ACT_USE</t>
  </si>
  <si>
    <t>CASH_ALT_USE_WHY</t>
  </si>
  <si>
    <t>CASH_RECEIVED_BLANKETS</t>
  </si>
  <si>
    <t>CASH_BLANKETS_ACTUAL_COST</t>
  </si>
  <si>
    <t>CASH_BLANKETS_ACT_USE</t>
  </si>
  <si>
    <t>CASH_BLANKETS_ALT_WHY</t>
  </si>
  <si>
    <t>CASH_RECEIVED_SLEEPING_MAT</t>
  </si>
  <si>
    <t>CASH_ACT_COST_SLEEPING_MAT</t>
  </si>
  <si>
    <t>CASH_SLEEPING_MAT_ACT_USE</t>
  </si>
  <si>
    <t>CASH_SLEEPING_MAT_ALT_WHY</t>
  </si>
  <si>
    <t>CASH_RECEIVED_KITCHEN_SET</t>
  </si>
  <si>
    <t>CASH_ACTUAL_COST_KITCHEN_SET</t>
  </si>
  <si>
    <t>CASH_KITCHEN_SET_ACT_USE</t>
  </si>
  <si>
    <t>CASH_KITCHEN_SET_ALT_WHY</t>
  </si>
  <si>
    <t>CASH_RECEIVED_JERRY_CANS</t>
  </si>
  <si>
    <t>CASH_ACT_COST_JERRY_CANS</t>
  </si>
  <si>
    <t>CASH_JERRY_CANS_ACT_USE</t>
  </si>
  <si>
    <t>CASH_JERRY_CAN_ALT_WHY</t>
  </si>
  <si>
    <t>CASH_RECEIVED_SANITARY_ITEMS</t>
  </si>
  <si>
    <t>CASH_ACT_COST_SANITARY_ITEMS</t>
  </si>
  <si>
    <t>CASH_SANITARY_ITEMS_ACT_USE</t>
  </si>
  <si>
    <t>CASH_SANITARY_ITEMS_ALT_WHY</t>
  </si>
  <si>
    <t>CASH_RECEIVED_BAR_SOAP</t>
  </si>
  <si>
    <t>CASH_ACTUAL_COST_BAR_SOAP</t>
  </si>
  <si>
    <t>CASH_BAR_SOAP_ACT_USE</t>
  </si>
  <si>
    <t>CASH_BAR_SOAP_ALT_WHY</t>
  </si>
  <si>
    <t>CASH_RECEIVED_WASH_BASIN</t>
  </si>
  <si>
    <t>CASH_ACT_COST_WASH_BASIN</t>
  </si>
  <si>
    <t>CASH_WASHBASIN_ACT_USE</t>
  </si>
  <si>
    <t>CASH_WASHBASIN_ALT_WHY</t>
  </si>
  <si>
    <t>CASH_RECEIVED_SHELTER_ITEMS</t>
  </si>
  <si>
    <t>CASH_ACT_COST_SHELTER_ITEMS</t>
  </si>
  <si>
    <t>CASH_SHELTER_ITEMS_ACT_USE</t>
  </si>
  <si>
    <t>CASH_SHELTER_ITEM_ALT_WHY</t>
  </si>
  <si>
    <t>CASH_STOLEN_WHOM</t>
  </si>
  <si>
    <t>VOUCHER_PROCESS_EASY_FOLLOW</t>
  </si>
  <si>
    <t>community_relationship</t>
  </si>
  <si>
    <t>community_interaction</t>
  </si>
  <si>
    <t>main_communication_way</t>
  </si>
  <si>
    <t>main_communication_way_other</t>
  </si>
  <si>
    <t>host_problems</t>
  </si>
  <si>
    <t>what_issues</t>
  </si>
  <si>
    <t>what_issues_other</t>
  </si>
  <si>
    <t>land_tenure_now</t>
  </si>
  <si>
    <t>land_tenure_now_other</t>
  </si>
  <si>
    <t>land_tenure_status</t>
  </si>
  <si>
    <t>land_tenure_status_specify</t>
  </si>
  <si>
    <t>cert_land_status</t>
  </si>
  <si>
    <t>secure_land</t>
  </si>
  <si>
    <t>consider_your_home</t>
  </si>
  <si>
    <t>anybodyelse_living_plot</t>
  </si>
  <si>
    <t>anybodyelse_living_plot_specify</t>
  </si>
  <si>
    <t>eviction_threat</t>
  </si>
  <si>
    <t>shelter_need</t>
  </si>
  <si>
    <t>shelter_need_other</t>
  </si>
  <si>
    <t>COMP_SHELTER_TRAINING</t>
  </si>
  <si>
    <t>COMP_SHELTER_TRAINING_SPECIFY</t>
  </si>
  <si>
    <t>SHELTER_Maint_USEFUL</t>
  </si>
  <si>
    <t>SHELTER_Maint_SKILLS_USED</t>
  </si>
  <si>
    <t>SHELTER_Maint_SKILLS_YES</t>
  </si>
  <si>
    <t>SHELTER_PLANNING_INVOLVE</t>
  </si>
  <si>
    <t>SHELTER_PLANNING_INVOLVE_YES</t>
  </si>
  <si>
    <t>shelter_now</t>
  </si>
  <si>
    <t>shelter_now_other</t>
  </si>
  <si>
    <t>shelter_now_materials</t>
  </si>
  <si>
    <t>shelter_now_materials_other</t>
  </si>
  <si>
    <t>shelter_now_labor</t>
  </si>
  <si>
    <t>shelter_now_labor_other</t>
  </si>
  <si>
    <t>shelter_upgrade</t>
  </si>
  <si>
    <t>WHY_NOT</t>
  </si>
  <si>
    <t>shelter_upgrade_how</t>
  </si>
  <si>
    <t>shelter_upgrade_how_specify</t>
  </si>
  <si>
    <t>shelter_improvements</t>
  </si>
  <si>
    <t>structure_improvements</t>
  </si>
  <si>
    <t>structure_improvements_specify</t>
  </si>
  <si>
    <t>shelter_material_provided</t>
  </si>
  <si>
    <t>shelter_local_resources</t>
  </si>
  <si>
    <t>shelter_local_resources_other</t>
  </si>
  <si>
    <t>shelter_wish</t>
  </si>
  <si>
    <t>shelter_wish_other</t>
  </si>
  <si>
    <t>received_shelter_support</t>
  </si>
  <si>
    <t>SATISFIED_WITH_SHELTER_ASSIST</t>
  </si>
  <si>
    <t>shelter_supp_specific</t>
  </si>
  <si>
    <t>shelter_supp_specific_other</t>
  </si>
  <si>
    <t>shelter_supp_prov_org</t>
  </si>
  <si>
    <t>shelter_problem_rank_R</t>
  </si>
  <si>
    <t>shelter_problem_rank_W</t>
  </si>
  <si>
    <t>shelter_problem_rank_TMP</t>
  </si>
  <si>
    <t>shelter_problem_rank_L</t>
  </si>
  <si>
    <t>shelter_problem_rank_S</t>
  </si>
  <si>
    <t>shelter_problem_rank_P</t>
  </si>
  <si>
    <t>shelter_problem_rank_T</t>
  </si>
  <si>
    <t>shelter_problem_rank_V</t>
  </si>
  <si>
    <t>received_any_hygiene_items</t>
  </si>
  <si>
    <t>received_hygiene_items</t>
  </si>
  <si>
    <t>received_hygiene_items_other</t>
  </si>
  <si>
    <t>bath_items</t>
  </si>
  <si>
    <t>bath_items_other</t>
  </si>
  <si>
    <t>wash_hands_items</t>
  </si>
  <si>
    <t>wash_hands_items_other</t>
  </si>
  <si>
    <t>fuel</t>
  </si>
  <si>
    <t>fuel_other</t>
  </si>
  <si>
    <t>collect_fuel_where</t>
  </si>
  <si>
    <t>latrine_access</t>
  </si>
  <si>
    <t>private_or_communal_latrine</t>
  </si>
  <si>
    <t>how_many_use_the_latrine</t>
  </si>
  <si>
    <t>seperated_by_gender</t>
  </si>
  <si>
    <t>where_defecate</t>
  </si>
  <si>
    <t>dispose_waste</t>
  </si>
  <si>
    <t>waste_how</t>
  </si>
  <si>
    <t>waste_where</t>
  </si>
  <si>
    <t>what_shelter_item_have</t>
  </si>
  <si>
    <t>current_shelter_item_other</t>
  </si>
  <si>
    <t>current_nfi_item</t>
  </si>
  <si>
    <t>current_nfi_item_other</t>
  </si>
  <si>
    <t>plastic_sheet_quantity</t>
  </si>
  <si>
    <t>plastic_sheet_quality</t>
  </si>
  <si>
    <t>plastic_sheet_how_usefull</t>
  </si>
  <si>
    <t>plastic_sheet_actual_use</t>
  </si>
  <si>
    <t>plastic_sheet_sold_price</t>
  </si>
  <si>
    <t>USABLE_JERRYCANS</t>
  </si>
  <si>
    <t>USABLE_JERRYCANS_CAPACITY</t>
  </si>
  <si>
    <t>POOR_QUALITY_JERRYCANS</t>
  </si>
  <si>
    <t>WORNOUT_JERRYCANS_CAPACITY</t>
  </si>
  <si>
    <t>JERRYCANS_OUTSIDE_HH_CAPACITY</t>
  </si>
  <si>
    <t>JERRYCANS_recd_obtain</t>
  </si>
  <si>
    <t>JERRYCANS_recd_act_use</t>
  </si>
  <si>
    <t>JERRYCANS_recd_act_use_sold</t>
  </si>
  <si>
    <t>JERRYCANS_recd_act_use_other</t>
  </si>
  <si>
    <t>USABLE_COOKING_POTS</t>
  </si>
  <si>
    <t>POOR_QUALITY_COOKING_POTS</t>
  </si>
  <si>
    <t>COOKING_POTS_OUSTIDE_HH</t>
  </si>
  <si>
    <t>COOKING_POTS_recieved_obtain</t>
  </si>
  <si>
    <t>COOKINGPOTS_recd_act_use</t>
  </si>
  <si>
    <t>COOKINGPOTS_recd_act_use_sold</t>
  </si>
  <si>
    <t>COOKINGPOTS_recd_act_use_other</t>
  </si>
  <si>
    <t>USABLE_WASH_BASINS</t>
  </si>
  <si>
    <t>POOR_QUALITY_WASH_BASINS</t>
  </si>
  <si>
    <t>WASH_BASINS_OUSTIDE_HH</t>
  </si>
  <si>
    <t>WASH_BASIN_recieved_obtain</t>
  </si>
  <si>
    <t>WASHBASIN_recd_act_use</t>
  </si>
  <si>
    <t>WASHBASIN_recd_act_use_sold</t>
  </si>
  <si>
    <t>WASHBASIN_recd_act_use_other</t>
  </si>
  <si>
    <t>USABLE_MATS</t>
  </si>
  <si>
    <t>MAT_CAPACITY</t>
  </si>
  <si>
    <t>POOR_QUALITY_MATS</t>
  </si>
  <si>
    <t>WORNOUT_MAT1_CAPACITY</t>
  </si>
  <si>
    <t>MATS_OUSTIDE_HH</t>
  </si>
  <si>
    <t>MATS_recieved_obtain</t>
  </si>
  <si>
    <t>MATS_recd_act_use</t>
  </si>
  <si>
    <t>MATS_recd_act_use_sold</t>
  </si>
  <si>
    <t>MATS_recd_act_use_other</t>
  </si>
  <si>
    <t>USABLE_BLANKETS</t>
  </si>
  <si>
    <t>BLANKET_CAPACITY</t>
  </si>
  <si>
    <t>POOR_QUALITY_BLANKETS</t>
  </si>
  <si>
    <t>WORNOUT_BLANKET1_CAPACITY</t>
  </si>
  <si>
    <t>BLANKETS_OUSTIDE_HH</t>
  </si>
  <si>
    <t>USABLE_KNIVES</t>
  </si>
  <si>
    <t>POOR_QUALITY_KNIVES</t>
  </si>
  <si>
    <t>KNIVES_OUSTIDE_HH</t>
  </si>
  <si>
    <t>KNIVES_recieved_obtain</t>
  </si>
  <si>
    <t>source_1_type</t>
  </si>
  <si>
    <t>source_1_type_other</t>
  </si>
  <si>
    <t>Water_Source_1_distance</t>
  </si>
  <si>
    <t>Water_source_1_use</t>
  </si>
  <si>
    <t>Water_source_1_use_other</t>
  </si>
  <si>
    <t>source_1_distance_value</t>
  </si>
  <si>
    <t>Water_main_Reliable</t>
  </si>
  <si>
    <t>source_pay</t>
  </si>
  <si>
    <t>source_pay_how</t>
  </si>
  <si>
    <t>water_collect_drinking_water</t>
  </si>
  <si>
    <t>water_transp_drink_water</t>
  </si>
  <si>
    <t>water_transp_drink_water_spec</t>
  </si>
  <si>
    <t>water_availabe</t>
  </si>
  <si>
    <t>water_cont_transp_and_storg</t>
  </si>
  <si>
    <t>water_treatement</t>
  </si>
  <si>
    <t>water_treat_how</t>
  </si>
  <si>
    <t>water_treat_how_other</t>
  </si>
  <si>
    <t>fear_safety</t>
  </si>
  <si>
    <t>where_unsafe</t>
  </si>
  <si>
    <t>where_unsafe_othe</t>
  </si>
  <si>
    <t>how_if_unsafe</t>
  </si>
  <si>
    <t>how_if_unsafe_other</t>
  </si>
  <si>
    <t>source_light</t>
  </si>
  <si>
    <t>source_light_other</t>
  </si>
  <si>
    <t>child_attend_school</t>
  </si>
  <si>
    <t>male_children_school</t>
  </si>
  <si>
    <t>female_children_school</t>
  </si>
  <si>
    <t>type_of_schooling</t>
  </si>
  <si>
    <t>type_of_schooling_other</t>
  </si>
  <si>
    <t>school_location</t>
  </si>
  <si>
    <t>any_fee_paid</t>
  </si>
  <si>
    <t>fee_cost</t>
  </si>
  <si>
    <t>shelter_type</t>
  </si>
  <si>
    <t>shelter_type_other</t>
  </si>
  <si>
    <t>shelter_plot</t>
  </si>
  <si>
    <t>shelter_number</t>
  </si>
  <si>
    <t>shelter_use_1</t>
  </si>
  <si>
    <t>shelter_use_1_other</t>
  </si>
  <si>
    <t>shelter_use_2</t>
  </si>
  <si>
    <t>shelter_use_2_other</t>
  </si>
  <si>
    <t>shelter_use_3</t>
  </si>
  <si>
    <t>shelter_use_4</t>
  </si>
  <si>
    <t>shelter_use_5</t>
  </si>
  <si>
    <t>shelter_use_6</t>
  </si>
  <si>
    <t>permanent_house_age</t>
  </si>
  <si>
    <t>daylight_through_roof</t>
  </si>
  <si>
    <t>sep_sleeping_spaces</t>
  </si>
  <si>
    <t>house_conditions</t>
  </si>
  <si>
    <t>lock_door_inside</t>
  </si>
  <si>
    <t>lock_door_outside</t>
  </si>
  <si>
    <t>lock_window</t>
  </si>
  <si>
    <t>physical_barrier</t>
  </si>
  <si>
    <t>tent_age</t>
  </si>
  <si>
    <t>tent_type</t>
  </si>
  <si>
    <t>shelter_improved</t>
  </si>
  <si>
    <t>shelter_improved_how</t>
  </si>
  <si>
    <t>tent_conditions</t>
  </si>
  <si>
    <t>buul_age_value</t>
  </si>
  <si>
    <t>buul_layers</t>
  </si>
  <si>
    <t>buul_door</t>
  </si>
  <si>
    <t>buul_door_lock_inside</t>
  </si>
  <si>
    <t>buul_door_lock_outside</t>
  </si>
  <si>
    <t>buul_coverage</t>
  </si>
  <si>
    <t>buul_daylight</t>
  </si>
  <si>
    <t>buul_sleeping_space</t>
  </si>
  <si>
    <t>buul_mat_floor</t>
  </si>
  <si>
    <t>buul_mat_floor_other</t>
  </si>
  <si>
    <t>buul_mat_struc</t>
  </si>
  <si>
    <t>buul_mat_struc_other</t>
  </si>
  <si>
    <t>buul_mat_wall_roof</t>
  </si>
  <si>
    <t>buul_mat_wall_roof_other</t>
  </si>
  <si>
    <t>buul_conditions</t>
  </si>
  <si>
    <t>shelter_value</t>
  </si>
  <si>
    <t>shelter_kind</t>
  </si>
  <si>
    <t>shelter_door</t>
  </si>
  <si>
    <t>shelter_door_lock_inside</t>
  </si>
  <si>
    <t>shelter_door_lock_outside</t>
  </si>
  <si>
    <t>shelter_mat_floor</t>
  </si>
  <si>
    <t>shelter_mat_floor_other</t>
  </si>
  <si>
    <t>shelter_mat_struc</t>
  </si>
  <si>
    <t>shelter_mat_struc_other</t>
  </si>
  <si>
    <t>shelter_mat_wall</t>
  </si>
  <si>
    <t>shelter_mat_wall_other</t>
  </si>
  <si>
    <t>shelter_mat_roof</t>
  </si>
  <si>
    <t>shelter_mat_roof_other</t>
  </si>
  <si>
    <t>shelter_width</t>
  </si>
  <si>
    <t>shelter_lenght</t>
  </si>
  <si>
    <t>shelter_height</t>
  </si>
  <si>
    <t>shelter_condition</t>
  </si>
  <si>
    <t>image</t>
  </si>
  <si>
    <t>reuse_items_yn</t>
  </si>
  <si>
    <t>reuse_items_how</t>
  </si>
  <si>
    <t>reuse_items_other</t>
  </si>
  <si>
    <t>complaint_mechanism</t>
  </si>
  <si>
    <t>access_basic_services</t>
  </si>
  <si>
    <t>access_basic_serv_type</t>
  </si>
  <si>
    <t>access_basic_serv_other</t>
  </si>
  <si>
    <t>Number/% of shelter incorporating measures to prevent/mitigate security risks, in particular gender-based violence</t>
  </si>
  <si>
    <t>Number/% of beneficiaries satisfied with the items distributed</t>
  </si>
  <si>
    <t>% of beneficiary households that report using distributed items as a means to address other needs</t>
  </si>
  <si>
    <t>% of households without physical access to functioning markets</t>
  </si>
  <si>
    <t>Average plot area available per person/household</t>
  </si>
  <si>
    <t>% of households that report problems with the local community</t>
  </si>
  <si>
    <t>Use of plot, by type</t>
  </si>
  <si>
    <t>Number/% of households that would re-use or recycle their shelter materials if they were to move elsewhere</t>
  </si>
  <si>
    <t>Number of shelters per plot</t>
  </si>
  <si>
    <t>% households by materials used for shelter roof/walls/floor/internal structure</t>
  </si>
  <si>
    <t>% of households with separated spaces within shelter</t>
  </si>
  <si>
    <t>Frequencies</t>
  </si>
  <si>
    <t>% Frequency</t>
  </si>
  <si>
    <t>Yes</t>
  </si>
  <si>
    <t>No</t>
  </si>
  <si>
    <t>Total</t>
  </si>
  <si>
    <t>Access to latrine within 50 m</t>
  </si>
  <si>
    <t>Private</t>
  </si>
  <si>
    <t>Communal</t>
  </si>
  <si>
    <t>Frequency</t>
  </si>
  <si>
    <t>Average</t>
  </si>
  <si>
    <t xml:space="preserve"> latrines separated by gender</t>
  </si>
  <si>
    <t>In the open by the home</t>
  </si>
  <si>
    <t>In the open away from the home</t>
  </si>
  <si>
    <t>community defecation point</t>
  </si>
  <si>
    <t xml:space="preserve">&lt;10 </t>
  </si>
  <si>
    <t>No.of HH using latrine</t>
  </si>
  <si>
    <t>Water Tank</t>
  </si>
  <si>
    <t>Borehole</t>
  </si>
  <si>
    <t>Shallow well or well</t>
  </si>
  <si>
    <t>River</t>
  </si>
  <si>
    <t>Water Kiosk</t>
  </si>
  <si>
    <t>Other Piped System</t>
  </si>
  <si>
    <t>Burkad</t>
  </si>
  <si>
    <t>Other</t>
  </si>
  <si>
    <t>Collect fuel where</t>
  </si>
  <si>
    <t>Collect from inside the settlement</t>
  </si>
  <si>
    <t>Collect from around the settlement</t>
  </si>
  <si>
    <t>Purchase locally</t>
  </si>
  <si>
    <t>Source 1 type</t>
  </si>
  <si>
    <t>Protected well who hand pump</t>
  </si>
  <si>
    <t>Protected well with hand pump</t>
  </si>
  <si>
    <t>Unprotected well</t>
  </si>
  <si>
    <t>Tank and tap</t>
  </si>
  <si>
    <t>Water trucking distribution Point</t>
  </si>
  <si>
    <t>Water Source 1 distance</t>
  </si>
  <si>
    <t xml:space="preserve"> 11-20 </t>
  </si>
  <si>
    <t xml:space="preserve"> 21-30 </t>
  </si>
  <si>
    <t xml:space="preserve"> 31 -40  </t>
  </si>
  <si>
    <t xml:space="preserve">41 -50 </t>
  </si>
  <si>
    <t xml:space="preserve">51 -60 </t>
  </si>
  <si>
    <t xml:space="preserve">&gt;60 </t>
  </si>
  <si>
    <t>Drinking</t>
  </si>
  <si>
    <t>Washing</t>
  </si>
  <si>
    <t>Water Source use</t>
  </si>
  <si>
    <t xml:space="preserve">Time waiting </t>
  </si>
  <si>
    <t>Water Cost</t>
  </si>
  <si>
    <t xml:space="preserve">1001-2000 </t>
  </si>
  <si>
    <t>2001 -3000</t>
  </si>
  <si>
    <t>&gt;3000</t>
  </si>
  <si>
    <t>One day</t>
  </si>
  <si>
    <t>Two days</t>
  </si>
  <si>
    <t>Three days</t>
  </si>
  <si>
    <t>More than three days</t>
  </si>
  <si>
    <t>Fee cost</t>
  </si>
  <si>
    <t>Do any of your children between 5-17 years attend school?</t>
  </si>
  <si>
    <t>Child attend school</t>
  </si>
  <si>
    <t>Children attending school</t>
  </si>
  <si>
    <t>Boys</t>
  </si>
  <si>
    <t>Girls</t>
  </si>
  <si>
    <t xml:space="preserve"> 1-2 </t>
  </si>
  <si>
    <t xml:space="preserve"> 2-5 </t>
  </si>
  <si>
    <t xml:space="preserve">&gt;5 </t>
  </si>
  <si>
    <t>Market Access</t>
  </si>
  <si>
    <t>Market distance</t>
  </si>
  <si>
    <t>Un-employed</t>
  </si>
  <si>
    <t>Total number of responses</t>
  </si>
  <si>
    <t>Total number of respondents</t>
  </si>
  <si>
    <t>Household  main source livelihood</t>
  </si>
  <si>
    <t>%Freq</t>
  </si>
  <si>
    <t>Inside settlement</t>
  </si>
  <si>
    <t>Outside settlement</t>
  </si>
  <si>
    <t>Household main source livelihood minutes</t>
  </si>
  <si>
    <t>1-30.</t>
  </si>
  <si>
    <t>31-60</t>
  </si>
  <si>
    <t>61-90</t>
  </si>
  <si>
    <t>91-120</t>
  </si>
  <si>
    <t>121-150</t>
  </si>
  <si>
    <t>&gt;150</t>
  </si>
  <si>
    <t>Daily income value US DOLLARS</t>
  </si>
  <si>
    <r>
      <rPr>
        <sz val="12"/>
        <color theme="1"/>
        <rFont val="Calibri"/>
        <family val="2"/>
        <scheme val="minor"/>
      </rPr>
      <t>Household  number</t>
    </r>
    <r>
      <rPr>
        <sz val="11"/>
        <color indexed="8"/>
        <rFont val="Calibri"/>
        <family val="2"/>
        <scheme val="minor"/>
      </rPr>
      <t xml:space="preserve"> of days work per month</t>
    </r>
  </si>
  <si>
    <t>Number  of days worked</t>
  </si>
  <si>
    <t xml:space="preserve"> 1-10</t>
  </si>
  <si>
    <t xml:space="preserve"> 21-30</t>
  </si>
  <si>
    <t xml:space="preserve"> 31-40</t>
  </si>
  <si>
    <t xml:space="preserve"> 41-50</t>
  </si>
  <si>
    <t xml:space="preserve"> &gt;50</t>
  </si>
  <si>
    <t xml:space="preserve"> 1-5 </t>
  </si>
  <si>
    <t xml:space="preserve"> 5-10 </t>
  </si>
  <si>
    <t xml:space="preserve"> 11-15 </t>
  </si>
  <si>
    <t xml:space="preserve"> 16-20 </t>
  </si>
  <si>
    <t xml:space="preserve"> 21-25 </t>
  </si>
  <si>
    <t xml:space="preserve"> 26-30 </t>
  </si>
  <si>
    <t xml:space="preserve">&lt;5 </t>
  </si>
  <si>
    <t xml:space="preserve">&gt;30 </t>
  </si>
  <si>
    <t>Travek market  per week</t>
  </si>
  <si>
    <t>Kind of items sold</t>
  </si>
  <si>
    <t>Grains</t>
  </si>
  <si>
    <t>Vegetable</t>
  </si>
  <si>
    <t>Construction material</t>
  </si>
  <si>
    <t>Pulses beans</t>
  </si>
  <si>
    <t>Meat fish</t>
  </si>
  <si>
    <t>Land tenure status</t>
  </si>
  <si>
    <t>Own house and lot</t>
  </si>
  <si>
    <t>Own house but rent lot</t>
  </si>
  <si>
    <t>Rent house/room including lot</t>
  </si>
  <si>
    <t>Own house, rent-free lot with consent of owner</t>
  </si>
  <si>
    <t>Land certificate status</t>
  </si>
  <si>
    <t>Land security</t>
  </si>
  <si>
    <t>Consider your home</t>
  </si>
  <si>
    <t>Anybodyelse living with you plot</t>
  </si>
  <si>
    <t>Friends</t>
  </si>
  <si>
    <t>Family</t>
  </si>
  <si>
    <t>Renters</t>
  </si>
  <si>
    <t>Eviction threat</t>
  </si>
  <si>
    <t>What is your land tenure status ?</t>
  </si>
  <si>
    <t>Plot use</t>
  </si>
  <si>
    <t>Knives</t>
  </si>
  <si>
    <t>Wash Basin</t>
  </si>
  <si>
    <t>Mat</t>
  </si>
  <si>
    <t>Cooking pots</t>
  </si>
  <si>
    <t>Blankets</t>
  </si>
  <si>
    <t>Animal(s)</t>
  </si>
  <si>
    <t>Jerry cans</t>
  </si>
  <si>
    <t>Tools</t>
  </si>
  <si>
    <t>Tent</t>
  </si>
  <si>
    <t>Plastic sheets</t>
  </si>
  <si>
    <t>Iron Sheets</t>
  </si>
  <si>
    <t xml:space="preserve"> % Frequency</t>
  </si>
  <si>
    <t>N/A</t>
  </si>
  <si>
    <t>Distributions received</t>
  </si>
  <si>
    <t>%Frequency</t>
  </si>
  <si>
    <t>Plastic sheets received</t>
  </si>
  <si>
    <t>Plastic sheet quality</t>
  </si>
  <si>
    <t>Very poor</t>
  </si>
  <si>
    <t>Poor</t>
  </si>
  <si>
    <t>Good</t>
  </si>
  <si>
    <t>Very good</t>
  </si>
  <si>
    <t>Plastic sheet how usefull</t>
  </si>
  <si>
    <t>Not useful at all</t>
  </si>
  <si>
    <t>Not so useful</t>
  </si>
  <si>
    <t>Useful</t>
  </si>
  <si>
    <t>Very useful</t>
  </si>
  <si>
    <t>blankets sheets received</t>
  </si>
  <si>
    <t>sleeping mats sheets received</t>
  </si>
  <si>
    <t>Mats  quality</t>
  </si>
  <si>
    <t>Sleeping mats how usefull</t>
  </si>
  <si>
    <t>Kitchen sets received</t>
  </si>
  <si>
    <t xml:space="preserve"> Jerry cans received</t>
  </si>
  <si>
    <t>Jerry cans  quality</t>
  </si>
  <si>
    <t>Jerry cans  how usefull</t>
  </si>
  <si>
    <t xml:space="preserve"> sanitary items received</t>
  </si>
  <si>
    <t>sanitary items quality</t>
  </si>
  <si>
    <t>sanitary items how usefull</t>
  </si>
  <si>
    <t xml:space="preserve"> bars of soap received</t>
  </si>
  <si>
    <t>bars of soap quality</t>
  </si>
  <si>
    <t>bars of soap how usefull</t>
  </si>
  <si>
    <t xml:space="preserve"> basins received</t>
  </si>
  <si>
    <t>basins quality</t>
  </si>
  <si>
    <t>basins how usefull</t>
  </si>
  <si>
    <t>Sticks</t>
  </si>
  <si>
    <t>other items  prefered</t>
  </si>
  <si>
    <t>Plastic sheet actual use</t>
  </si>
  <si>
    <t>Kept/Consumed/Used</t>
  </si>
  <si>
    <t>Loaned</t>
  </si>
  <si>
    <t>Sold</t>
  </si>
  <si>
    <t>Stolen</t>
  </si>
  <si>
    <t>Exchanged</t>
  </si>
  <si>
    <t>Gifted</t>
  </si>
  <si>
    <t>Destroyed</t>
  </si>
  <si>
    <t>Lost</t>
  </si>
  <si>
    <t xml:space="preserve">Total </t>
  </si>
  <si>
    <t>Plastic sheet sold price</t>
  </si>
  <si>
    <t>Average Amount</t>
  </si>
  <si>
    <t xml:space="preserve"> 16 -20 </t>
  </si>
  <si>
    <t>BLANKETS recieved actual use</t>
  </si>
  <si>
    <t>Blanket  sold price</t>
  </si>
  <si>
    <t>Sleeping mats recieved actual use</t>
  </si>
  <si>
    <t>Sleeping mats  sold price</t>
  </si>
  <si>
    <t>kitchen sets recieved actual use</t>
  </si>
  <si>
    <t>kitchen sets  sold price</t>
  </si>
  <si>
    <t>Jerry cans recieved actual use</t>
  </si>
  <si>
    <t>Jerry cans  sold price</t>
  </si>
  <si>
    <t>sanitary items recieved actual use</t>
  </si>
  <si>
    <t>sanitary items  sold price</t>
  </si>
  <si>
    <t>What is the actual use of thesewash basin?</t>
  </si>
  <si>
    <t>wash basin recieved actual use</t>
  </si>
  <si>
    <t>Wash basins  sold price</t>
  </si>
  <si>
    <t>Bar soap recieved actual use</t>
  </si>
  <si>
    <t>Bar soap  sold price</t>
  </si>
  <si>
    <t>How would you describe your relationship with the host community over the past year?</t>
  </si>
  <si>
    <t>very_good</t>
  </si>
  <si>
    <t>good</t>
  </si>
  <si>
    <t>fair</t>
  </si>
  <si>
    <t>bad</t>
  </si>
  <si>
    <t>very_bad</t>
  </si>
  <si>
    <t>dont_know</t>
  </si>
  <si>
    <t xml:space="preserve"> Relationship with host community</t>
  </si>
  <si>
    <t>Main communication way</t>
  </si>
  <si>
    <t>At the market</t>
  </si>
  <si>
    <t>At their house</t>
  </si>
  <si>
    <t>In conversation</t>
  </si>
  <si>
    <t>In meetings</t>
  </si>
  <si>
    <t>In community centre</t>
  </si>
  <si>
    <t>Host problems</t>
  </si>
  <si>
    <t>What issues</t>
  </si>
  <si>
    <t>Market</t>
  </si>
  <si>
    <t>Land rights</t>
  </si>
  <si>
    <t>Fighting</t>
  </si>
  <si>
    <t>Robbery</t>
  </si>
  <si>
    <t>Earth</t>
  </si>
  <si>
    <t>Cement</t>
  </si>
  <si>
    <t>Bricks</t>
  </si>
  <si>
    <t>Floor material</t>
  </si>
  <si>
    <t>Plastic Sheet</t>
  </si>
  <si>
    <t>Shelter integerernal structure material</t>
  </si>
  <si>
    <t>Wood</t>
  </si>
  <si>
    <t>Metal</t>
  </si>
  <si>
    <t>Iron Sheet</t>
  </si>
  <si>
    <t>Vegetation</t>
  </si>
  <si>
    <t>Shelter roof material</t>
  </si>
  <si>
    <t>Please specify the dimension of the shelter</t>
  </si>
  <si>
    <t xml:space="preserve">Length </t>
  </si>
  <si>
    <t>Height</t>
  </si>
  <si>
    <t>Partition</t>
  </si>
  <si>
    <t>Storage</t>
  </si>
  <si>
    <t>Recycle items</t>
  </si>
  <si>
    <t>How to recycle items</t>
  </si>
  <si>
    <t>Shelter support</t>
  </si>
  <si>
    <t>Weather protection</t>
  </si>
  <si>
    <t>Own house, rent-free lot without consent of owner</t>
  </si>
  <si>
    <t>Rent-free house and lot with consent of owner</t>
  </si>
  <si>
    <t>Rent-free house and lot without consent of owner</t>
  </si>
  <si>
    <t>Protection</t>
  </si>
  <si>
    <t>Transitional Shelter</t>
  </si>
  <si>
    <t>Building Materials</t>
  </si>
  <si>
    <t>Technical Support to build your shelter</t>
  </si>
  <si>
    <t>Financial Support</t>
  </si>
  <si>
    <t>Tools for construction</t>
  </si>
  <si>
    <t>No further support required</t>
  </si>
  <si>
    <t>Emergency Shelter</t>
  </si>
  <si>
    <t>most useful to meet your SHELTER immediate needs</t>
  </si>
  <si>
    <t>shelter maintegerance training useful</t>
  </si>
  <si>
    <t>shelter specific trainings</t>
  </si>
  <si>
    <t>skills to do  Maintenancewithin/outside the settlement</t>
  </si>
  <si>
    <t>household involved in the shelter planning process</t>
  </si>
  <si>
    <t>Buul</t>
  </si>
  <si>
    <t>Traditional Somalia Hut</t>
  </si>
  <si>
    <t>Iron sheet house</t>
  </si>
  <si>
    <t>Mud Hut</t>
  </si>
  <si>
    <t>Stone House</t>
  </si>
  <si>
    <t>Kind of Shelter preffered</t>
  </si>
  <si>
    <t>shelter support received in this settlement</t>
  </si>
  <si>
    <t>satisfied with the shelter assistance received</t>
  </si>
  <si>
    <t>Shelter repair kit</t>
  </si>
  <si>
    <t>Technical support</t>
  </si>
  <si>
    <t>New shelter constructed in full</t>
  </si>
  <si>
    <t>Lockable door</t>
  </si>
  <si>
    <t>Shelter support received</t>
  </si>
  <si>
    <t>organisation provided this support</t>
  </si>
  <si>
    <t>Family / Friends / Community</t>
  </si>
  <si>
    <t>Local Authorities</t>
  </si>
  <si>
    <t>UN / INGOs</t>
  </si>
  <si>
    <t>Local NGO</t>
  </si>
  <si>
    <t>Red Crescent</t>
  </si>
  <si>
    <t>Local Charity Organisation / Religious group</t>
  </si>
  <si>
    <t>Ranks</t>
  </si>
  <si>
    <t xml:space="preserve">Wind </t>
  </si>
  <si>
    <t>Temparature</t>
  </si>
  <si>
    <t>space</t>
  </si>
  <si>
    <t>Do you and/or any members of your household fear for physical safety</t>
  </si>
  <si>
    <t>Household fear for physical safety</t>
  </si>
  <si>
    <t>Where unsafe</t>
  </si>
  <si>
    <t>Latrine</t>
  </si>
  <si>
    <t>Way market</t>
  </si>
  <si>
    <t>Way school</t>
  </si>
  <si>
    <t>Inside shelter night</t>
  </si>
  <si>
    <t>How if unsafe</t>
  </si>
  <si>
    <t>Avoid area</t>
  </si>
  <si>
    <t>Paying protection</t>
  </si>
  <si>
    <t>Move company</t>
  </si>
  <si>
    <t>Com defense group</t>
  </si>
  <si>
    <t>Torch flashlight</t>
  </si>
  <si>
    <t>Source  of light</t>
  </si>
  <si>
    <t>Kerosene lantern</t>
  </si>
  <si>
    <t>Candles</t>
  </si>
  <si>
    <t>Wood fire</t>
  </si>
  <si>
    <t>Solar lamp</t>
  </si>
  <si>
    <t>None</t>
  </si>
  <si>
    <t>physical barrier/fence</t>
  </si>
  <si>
    <t>Locks functional</t>
  </si>
  <si>
    <t>from inside the house</t>
  </si>
  <si>
    <t>outside the house</t>
  </si>
  <si>
    <t>window locable</t>
  </si>
  <si>
    <t>Can you lock the  window and door from inside and outside  the house?</t>
  </si>
  <si>
    <t>Age of the Tent in months</t>
  </si>
  <si>
    <t>&lt;1</t>
  </si>
  <si>
    <t>Formal / Donated</t>
  </si>
  <si>
    <t>Self-constructed</t>
  </si>
  <si>
    <t xml:space="preserve"> Tent type</t>
  </si>
  <si>
    <t>Improved by the HH</t>
  </si>
  <si>
    <t>Category 1  (Good condition - New)</t>
  </si>
  <si>
    <t>Category 2 (Tent materials worn - Prone to leakages)</t>
  </si>
  <si>
    <t>Category 3 (Bad condition - Materials and structure is damaged and needs repair)</t>
  </si>
  <si>
    <t>Category 4 (Uninhabitable - Needs replacement)</t>
  </si>
  <si>
    <t>Tent Conditions</t>
  </si>
  <si>
    <t>separated sleeping spaces</t>
  </si>
  <si>
    <t>What is the age of the tent/bull in months?</t>
  </si>
  <si>
    <t>Shelter</t>
  </si>
  <si>
    <t>Shlter</t>
  </si>
  <si>
    <t xml:space="preserve">big hole </t>
  </si>
  <si>
    <t xml:space="preserve">daylight through the roof </t>
  </si>
  <si>
    <t>Which are the materials used to build Shelter/buul floor?</t>
  </si>
  <si>
    <t xml:space="preserve"> plot size</t>
  </si>
  <si>
    <t>Value in metres</t>
  </si>
  <si>
    <t>Number of structures (tents/buuls/houses) in plot</t>
  </si>
  <si>
    <t>Built on my own</t>
  </si>
  <si>
    <t>Received as humanitarian assistance</t>
  </si>
  <si>
    <t>I took it because it was empty</t>
  </si>
  <si>
    <t>Bought here</t>
  </si>
  <si>
    <t>Brought from elsewhere</t>
  </si>
  <si>
    <t>Found (free)</t>
  </si>
  <si>
    <t>Recycled previous shetler</t>
  </si>
  <si>
    <t>How did you get the shelter</t>
  </si>
  <si>
    <t>How did you get materials</t>
  </si>
  <si>
    <t>Own</t>
  </si>
  <si>
    <t>Hired</t>
  </si>
  <si>
    <t>Community</t>
  </si>
  <si>
    <t>If built,how did you get materials</t>
  </si>
  <si>
    <t>Shelter walls material</t>
  </si>
  <si>
    <t>Latrine private or communal</t>
  </si>
  <si>
    <t xml:space="preserve"> Where  defecate</t>
  </si>
  <si>
    <t>wood</t>
  </si>
  <si>
    <t>charcoal</t>
  </si>
  <si>
    <t>Fuel</t>
  </si>
  <si>
    <t>Garbage/waste</t>
  </si>
  <si>
    <t xml:space="preserve">Water collection daily times  </t>
  </si>
  <si>
    <t>Main  water source reliable</t>
  </si>
  <si>
    <t xml:space="preserve"> Water pay</t>
  </si>
  <si>
    <t xml:space="preserve"> School fee</t>
  </si>
  <si>
    <t xml:space="preserve"> 21 -25 </t>
  </si>
  <si>
    <t xml:space="preserve">&gt;25 </t>
  </si>
  <si>
    <t>Indicator Number</t>
  </si>
  <si>
    <t xml:space="preserve">Indicator Name </t>
  </si>
  <si>
    <t>Number/% of beneficiaries satisfied with the items distributed and/or shelter</t>
  </si>
  <si>
    <t xml:space="preserve"> % of population by Place of Origin</t>
  </si>
  <si>
    <t>Total number of household members by age and gender</t>
  </si>
  <si>
    <t>% population, by vulnerable groups</t>
  </si>
  <si>
    <t>% of population, by reason for displacement</t>
  </si>
  <si>
    <t>% of poplulation and number households by different settlement types</t>
  </si>
  <si>
    <t xml:space="preserve"> % population by  place of origin</t>
  </si>
  <si>
    <t>What is your region of origin?</t>
  </si>
  <si>
    <t>Awdal</t>
  </si>
  <si>
    <t>Bakool</t>
  </si>
  <si>
    <t>Banaadir</t>
  </si>
  <si>
    <t>Bari</t>
  </si>
  <si>
    <t>Bay</t>
  </si>
  <si>
    <t>Galguduud</t>
  </si>
  <si>
    <t>Gedo</t>
  </si>
  <si>
    <t>Hiiraan</t>
  </si>
  <si>
    <t>Middle Juba</t>
  </si>
  <si>
    <t>Lower Juba</t>
  </si>
  <si>
    <t>Mudug</t>
  </si>
  <si>
    <t>Nugaal</t>
  </si>
  <si>
    <t>Sanaag</t>
  </si>
  <si>
    <t>Middle Shabelle</t>
  </si>
  <si>
    <t>Lower Shabelle</t>
  </si>
  <si>
    <t>Sool</t>
  </si>
  <si>
    <t>Togdheer</t>
  </si>
  <si>
    <t>Woqooyi Galbeed</t>
  </si>
  <si>
    <t>District of Origin</t>
  </si>
  <si>
    <t>Galgaduud</t>
  </si>
  <si>
    <t>Hiran</t>
  </si>
  <si>
    <t>Abdiaziz</t>
  </si>
  <si>
    <t>Bender-Bayla</t>
  </si>
  <si>
    <t>Xuddur</t>
  </si>
  <si>
    <t>Baki</t>
  </si>
  <si>
    <t>Baidoa</t>
  </si>
  <si>
    <t>Caabudwaq</t>
  </si>
  <si>
    <t>Baardheere</t>
  </si>
  <si>
    <t>Beledweyne</t>
  </si>
  <si>
    <t>Buaale</t>
  </si>
  <si>
    <t>Afmadow</t>
  </si>
  <si>
    <t>Gaalkacyo</t>
  </si>
  <si>
    <t>Burtinle</t>
  </si>
  <si>
    <t>Ceel-Afweyn</t>
  </si>
  <si>
    <t>Aadan_Yabaal</t>
  </si>
  <si>
    <t>Afgoi</t>
  </si>
  <si>
    <t>Caynaba</t>
  </si>
  <si>
    <t>Burao</t>
  </si>
  <si>
    <t>Hargeisat</t>
  </si>
  <si>
    <t>Bondhere</t>
  </si>
  <si>
    <t>Bosaso</t>
  </si>
  <si>
    <t>Rabdhuure</t>
  </si>
  <si>
    <t>Borama</t>
  </si>
  <si>
    <t>Buurhakaba</t>
  </si>
  <si>
    <t>Cadaado</t>
  </si>
  <si>
    <t>Beled_Hawo</t>
  </si>
  <si>
    <t>Buuloburde</t>
  </si>
  <si>
    <t>Jilib</t>
  </si>
  <si>
    <t>Xagar</t>
  </si>
  <si>
    <t>Galdogob</t>
  </si>
  <si>
    <t>Garoowe</t>
  </si>
  <si>
    <t>Ceerigaabo</t>
  </si>
  <si>
    <t>Balcad</t>
  </si>
  <si>
    <t>Baraawe</t>
  </si>
  <si>
    <t>Laascaanood</t>
  </si>
  <si>
    <t>Buuhoodle</t>
  </si>
  <si>
    <t>Gabiley</t>
  </si>
  <si>
    <t>Daynile</t>
  </si>
  <si>
    <t>Caluula</t>
  </si>
  <si>
    <t>Tiyeegloow</t>
  </si>
  <si>
    <t>Lughaya</t>
  </si>
  <si>
    <t>Diinsoor</t>
  </si>
  <si>
    <t>Ceelbuur</t>
  </si>
  <si>
    <t>Ceelwaaq</t>
  </si>
  <si>
    <t>Jalalaqsi</t>
  </si>
  <si>
    <t>Sakow</t>
  </si>
  <si>
    <t>Badhaadhe</t>
  </si>
  <si>
    <t>Harardheere</t>
  </si>
  <si>
    <t>Eyl</t>
  </si>
  <si>
    <t>Dhahar</t>
  </si>
  <si>
    <t>Cadale</t>
  </si>
  <si>
    <t>Kurtunwarey</t>
  </si>
  <si>
    <t>Taleex</t>
  </si>
  <si>
    <t>Oodwayne</t>
  </si>
  <si>
    <t>Berbera</t>
  </si>
  <si>
    <t>Dharkenley</t>
  </si>
  <si>
    <t>Iskushuban</t>
  </si>
  <si>
    <t>Waajid</t>
  </si>
  <si>
    <t>Saylac</t>
  </si>
  <si>
    <t>Qasahdhere</t>
  </si>
  <si>
    <t>Ceeldheer</t>
  </si>
  <si>
    <t>Doolow</t>
  </si>
  <si>
    <t>Mahas</t>
  </si>
  <si>
    <t>Jamaame</t>
  </si>
  <si>
    <t>Hobyo</t>
  </si>
  <si>
    <t>Laasqoray</t>
  </si>
  <si>
    <t>Jowhar</t>
  </si>
  <si>
    <t>Marka</t>
  </si>
  <si>
    <t>Xudun</t>
  </si>
  <si>
    <t>Sheikh</t>
  </si>
  <si>
    <t>Hamar-Jajab</t>
  </si>
  <si>
    <t>Qandala</t>
  </si>
  <si>
    <t>Dhusamareb</t>
  </si>
  <si>
    <t>Garbahaarreey</t>
  </si>
  <si>
    <t>Kismaayo</t>
  </si>
  <si>
    <t>Jariiban</t>
  </si>
  <si>
    <t>Qoriyoleey</t>
  </si>
  <si>
    <t>Hamar-Weyne</t>
  </si>
  <si>
    <t>Qardho</t>
  </si>
  <si>
    <t>Galhareri</t>
  </si>
  <si>
    <t>Luuq</t>
  </si>
  <si>
    <t>Sablaale</t>
  </si>
  <si>
    <t>Hodan</t>
  </si>
  <si>
    <t>Walaweyn</t>
  </si>
  <si>
    <t>Howl-Wadag</t>
  </si>
  <si>
    <t>Huriwaa</t>
  </si>
  <si>
    <t>Kaaraan</t>
  </si>
  <si>
    <t>Shibis</t>
  </si>
  <si>
    <t>Shangaani</t>
  </si>
  <si>
    <t>Waabari</t>
  </si>
  <si>
    <t>Wadajir</t>
  </si>
  <si>
    <t>Wardhiigley</t>
  </si>
  <si>
    <t>Yaaqshiid</t>
  </si>
  <si>
    <t>Banadir</t>
  </si>
  <si>
    <t>Family memebers distribution by age.</t>
  </si>
  <si>
    <t>Age  distribution</t>
  </si>
  <si>
    <t>Male</t>
  </si>
  <si>
    <t>Female</t>
  </si>
  <si>
    <t>&lt; 5 years</t>
  </si>
  <si>
    <t>5 - 11 years</t>
  </si>
  <si>
    <t>12 - 17 years</t>
  </si>
  <si>
    <t>18 - 24 years</t>
  </si>
  <si>
    <t>25 - 59 years</t>
  </si>
  <si>
    <t xml:space="preserve">&gt; 60 </t>
  </si>
  <si>
    <t>Family join next 6mnths</t>
  </si>
  <si>
    <t>No. of memebrs joining in 6months</t>
  </si>
  <si>
    <t>1 - 2 members</t>
  </si>
  <si>
    <t>Pregnant &amp;lactating women</t>
  </si>
  <si>
    <t>0 women</t>
  </si>
  <si>
    <t>1-2 women</t>
  </si>
  <si>
    <t>Total physical&amp;mental disable</t>
  </si>
  <si>
    <t>0 people</t>
  </si>
  <si>
    <t>1-2 people</t>
  </si>
  <si>
    <t>Is this a single headed household?,specify gender.</t>
  </si>
  <si>
    <t>Household type</t>
  </si>
  <si>
    <t>Single female</t>
  </si>
  <si>
    <t>Single male</t>
  </si>
  <si>
    <t>Not single headed</t>
  </si>
  <si>
    <t>Reason for leaving place of origin</t>
  </si>
  <si>
    <t>Insecurity</t>
  </si>
  <si>
    <t>Livelihoods</t>
  </si>
  <si>
    <t>Druration</t>
  </si>
  <si>
    <t>FrequencY</t>
  </si>
  <si>
    <t>4 - 6 years ago</t>
  </si>
  <si>
    <t>1 - 3 years ago</t>
  </si>
  <si>
    <t>6 - 12 months ago</t>
  </si>
  <si>
    <t>1 -5 months ago</t>
  </si>
  <si>
    <t>&lt; 1 month ago</t>
  </si>
  <si>
    <t>Druration of stay in current location</t>
  </si>
  <si>
    <t>&gt;1 year ago</t>
  </si>
  <si>
    <t>1 - 5 months ago</t>
  </si>
  <si>
    <t>&lt;1 month ago</t>
  </si>
  <si>
    <t>Motivation factor</t>
  </si>
  <si>
    <t>Security</t>
  </si>
  <si>
    <t>Access to education</t>
  </si>
  <si>
    <t>Access to health</t>
  </si>
  <si>
    <t>Access to livelihoods</t>
  </si>
  <si>
    <t>Land tenure</t>
  </si>
  <si>
    <t>Plans in the next 6 months</t>
  </si>
  <si>
    <t>Return to the place of origin</t>
  </si>
  <si>
    <t>Stay in current location</t>
  </si>
  <si>
    <t>Relocate in the same district</t>
  </si>
  <si>
    <t>Relocate outside district</t>
  </si>
  <si>
    <t>Dont know</t>
  </si>
  <si>
    <t>Conditions to return</t>
  </si>
  <si>
    <t>Under any condition</t>
  </si>
  <si>
    <t>Improved security</t>
  </si>
  <si>
    <t>If chances of a good harvest increase</t>
  </si>
  <si>
    <t>If transport is provided</t>
  </si>
  <si>
    <t>Access to health facilities</t>
  </si>
  <si>
    <t>Access to education facilities</t>
  </si>
  <si>
    <t>If agricultural tools and seeds provided</t>
  </si>
  <si>
    <t>What to do with current shelter</t>
  </si>
  <si>
    <t>Sell</t>
  </si>
  <si>
    <t>Take with you</t>
  </si>
  <si>
    <t>Give away</t>
  </si>
  <si>
    <t>Leave It behind</t>
  </si>
  <si>
    <t>Amount sold</t>
  </si>
  <si>
    <t>Fequency</t>
  </si>
  <si>
    <t>Reasons for staying</t>
  </si>
  <si>
    <t>No relation with place of origin anymore</t>
  </si>
  <si>
    <t>No information about place of origin</t>
  </si>
  <si>
    <t>Insecurity in place of origin</t>
  </si>
  <si>
    <t>Want to remain permanently</t>
  </si>
  <si>
    <t>To continue to receive humanitarian assistance</t>
  </si>
  <si>
    <t>Family member has a job here</t>
  </si>
  <si>
    <t>Obtacles of remainning to present place</t>
  </si>
  <si>
    <t>No weak land tenure lease</t>
  </si>
  <si>
    <t>Bad relationship host</t>
  </si>
  <si>
    <t>No basic servcies</t>
  </si>
  <si>
    <t>No job oppuritunities</t>
  </si>
  <si>
    <t>Duration of stay here</t>
  </si>
  <si>
    <t>More than 1 year</t>
  </si>
  <si>
    <t>Less than 1 year</t>
  </si>
  <si>
    <t>Reason for relocating in same district</t>
  </si>
  <si>
    <t>No relation</t>
  </si>
  <si>
    <t xml:space="preserve">  &lt;20</t>
  </si>
  <si>
    <t xml:space="preserve">  20 - 39</t>
  </si>
  <si>
    <t xml:space="preserve">  40 - 59</t>
  </si>
  <si>
    <t xml:space="preserve">  60 - 79</t>
  </si>
  <si>
    <t xml:space="preserve">  80 - 99</t>
  </si>
  <si>
    <t xml:space="preserve">  100-119</t>
  </si>
  <si>
    <t xml:space="preserve">  120-139</t>
  </si>
  <si>
    <t xml:space="preserve">  140-159</t>
  </si>
  <si>
    <t xml:space="preserve">  160-189</t>
  </si>
  <si>
    <t xml:space="preserve">  &gt;189</t>
  </si>
  <si>
    <t>% of poplulation by different settlement types</t>
  </si>
  <si>
    <t>% of households without physical access to functioning markets/Functional sanitation facilities</t>
  </si>
  <si>
    <t>Shelter releted problems rank</t>
  </si>
  <si>
    <t>3 -4 members</t>
  </si>
  <si>
    <t>&gt;4 members</t>
  </si>
  <si>
    <t xml:space="preserve"> 11-20</t>
  </si>
  <si>
    <t>&gt;4 women</t>
  </si>
  <si>
    <t>3-4 women</t>
  </si>
  <si>
    <t>&gt;4 people</t>
  </si>
  <si>
    <t>3-4 people</t>
  </si>
  <si>
    <t>BLANKETS_HOW_USEFULL</t>
  </si>
  <si>
    <t>Shelter related problem</t>
  </si>
  <si>
    <t>Which are the materials used to build Shelter internal structure ?</t>
  </si>
  <si>
    <t>Other Shelter</t>
  </si>
  <si>
    <t>3-4 times</t>
  </si>
  <si>
    <t>&gt;4  times</t>
  </si>
  <si>
    <t>0 times</t>
  </si>
  <si>
    <t>1-2 times</t>
  </si>
  <si>
    <t>&lt;10</t>
  </si>
  <si>
    <t xml:space="preserve"> 10-19</t>
  </si>
  <si>
    <t xml:space="preserve"> 20-29</t>
  </si>
  <si>
    <t>&gt;29</t>
  </si>
  <si>
    <t>&lt;1001</t>
  </si>
  <si>
    <t xml:space="preserve"> 6-10 </t>
  </si>
  <si>
    <t>Boys &amp; Girls between 5 and 17 attending school (household level)</t>
  </si>
  <si>
    <t xml:space="preserve"> 3-4</t>
  </si>
  <si>
    <t>&gt;4</t>
  </si>
  <si>
    <t xml:space="preserve">&gt;4 </t>
  </si>
  <si>
    <t>local community interaction</t>
  </si>
  <si>
    <t xml:space="preserve"> 0-5 </t>
  </si>
  <si>
    <t>Describe the tent/buul conditions</t>
  </si>
  <si>
    <t>Can you lock the  door from inside and outside  the buul</t>
  </si>
  <si>
    <t>Holes</t>
  </si>
  <si>
    <t>Can you  see daylight through the roof and/or is there a big hole in the roof of the buul?</t>
  </si>
  <si>
    <t>Width</t>
  </si>
  <si>
    <t>Shelter Dimentions in meters</t>
  </si>
  <si>
    <t xml:space="preserve"> 11-15</t>
  </si>
  <si>
    <t xml:space="preserve"> 21-25</t>
  </si>
  <si>
    <t xml:space="preserve"> 26-30</t>
  </si>
  <si>
    <t xml:space="preserve"> &lt;6</t>
  </si>
  <si>
    <t xml:space="preserve"> 6-10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</si>
</sst>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00"/>
    <numFmt numFmtId="166" formatCode="0.000"/>
  </numFmts>
  <fonts count="9" x14ac:knownFonts="1">
    <font>
      <sz val="11"/>
      <color indexed="8"/>
      <name val="Calibri"/>
      <family val="2"/>
      <scheme val="minor"/>
    </font>
    <font>
      <sz val="11"/>
      <color indexed="8"/>
      <name val="Calibri"/>
      <family val="2"/>
      <scheme val="minor"/>
    </font>
    <font>
      <sz val="11"/>
      <color theme="0"/>
      <name val="Calibri"/>
      <family val="2"/>
      <scheme val="minor"/>
    </font>
    <font>
      <sz val="12"/>
      <color theme="1"/>
      <name val="Calibri"/>
      <family val="2"/>
      <scheme val="minor"/>
    </font>
    <font>
      <b/>
      <sz val="11"/>
      <color theme="1"/>
      <name val="Calibri"/>
      <family val="2"/>
      <scheme val="minor"/>
    </font>
    <font>
      <b/>
      <sz val="11"/>
      <color indexed="8"/>
      <name val="Calibri"/>
      <family val="2"/>
      <scheme val="minor"/>
    </font>
    <font>
      <sz val="11"/>
      <name val="Calibri"/>
      <family val="2"/>
      <scheme val="minor"/>
    </font>
    <font>
      <sz val="9"/>
      <color theme="1"/>
      <name val="Calibri"/>
      <family val="2"/>
      <scheme val="minor"/>
    </font>
    <font>
      <b/>
      <sz val="11"/>
      <color theme="0"/>
      <name val="Calibri"/>
      <family val="2"/>
      <scheme val="minor"/>
    </font>
  </fonts>
  <fills count="5">
    <fill>
      <patternFill patternType="none"/>
    </fill>
    <fill>
      <patternFill patternType="gray125"/>
    </fill>
    <fill>
      <patternFill patternType="solid">
        <fgColor theme="5" tint="-0.249977111117893"/>
        <bgColor theme="5" tint="-0.249977111117893"/>
      </patternFill>
    </fill>
    <fill>
      <patternFill patternType="solid">
        <fgColor theme="5" tint="-0.249977111117893"/>
        <bgColor indexed="64"/>
      </patternFill>
    </fill>
    <fill>
      <patternFill patternType="solid">
        <fgColor theme="5"/>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38">
    <xf numFmtId="0" fontId="0" fillId="0" borderId="0" xfId="0"/>
    <xf numFmtId="0" fontId="2" fillId="2" borderId="1" xfId="0" applyFont="1" applyFill="1" applyBorder="1"/>
    <xf numFmtId="0" fontId="2" fillId="2" borderId="2" xfId="0" applyFont="1" applyFill="1" applyBorder="1"/>
    <xf numFmtId="0" fontId="2" fillId="2" borderId="3" xfId="0" applyFont="1" applyFill="1" applyBorder="1"/>
    <xf numFmtId="0" fontId="0" fillId="0" borderId="4" xfId="0" applyBorder="1"/>
    <xf numFmtId="0" fontId="0" fillId="0" borderId="0" xfId="0" applyBorder="1"/>
    <xf numFmtId="9" fontId="0" fillId="0" borderId="5" xfId="1" applyFont="1" applyBorder="1"/>
    <xf numFmtId="0" fontId="0" fillId="0" borderId="1" xfId="0" applyBorder="1"/>
    <xf numFmtId="0" fontId="0" fillId="0" borderId="2" xfId="0" applyBorder="1"/>
    <xf numFmtId="9" fontId="0" fillId="0" borderId="3" xfId="1" applyFont="1" applyBorder="1"/>
    <xf numFmtId="0" fontId="2" fillId="2" borderId="6" xfId="0" applyFont="1" applyFill="1" applyBorder="1"/>
    <xf numFmtId="0" fontId="2" fillId="2" borderId="7" xfId="0" applyFont="1" applyFill="1" applyBorder="1"/>
    <xf numFmtId="0" fontId="2" fillId="2" borderId="8" xfId="0" applyFont="1" applyFill="1" applyBorder="1"/>
    <xf numFmtId="0" fontId="0" fillId="0" borderId="9" xfId="0" applyBorder="1"/>
    <xf numFmtId="0" fontId="0" fillId="0" borderId="10" xfId="0" applyBorder="1"/>
    <xf numFmtId="9" fontId="0" fillId="0" borderId="11" xfId="1" applyFont="1" applyBorder="1"/>
    <xf numFmtId="0" fontId="0" fillId="0" borderId="9" xfId="0" applyFill="1" applyBorder="1"/>
    <xf numFmtId="0" fontId="0" fillId="0" borderId="1" xfId="0" applyFill="1" applyBorder="1"/>
    <xf numFmtId="9" fontId="0" fillId="0" borderId="3" xfId="0" applyNumberFormat="1" applyBorder="1"/>
    <xf numFmtId="2" fontId="0" fillId="0" borderId="2" xfId="0" applyNumberFormat="1" applyBorder="1"/>
    <xf numFmtId="0" fontId="0" fillId="0" borderId="4" xfId="0" applyBorder="1" applyAlignment="1"/>
    <xf numFmtId="0" fontId="0" fillId="0" borderId="9" xfId="0" applyBorder="1" applyAlignment="1"/>
    <xf numFmtId="0" fontId="0" fillId="0" borderId="10" xfId="0" applyBorder="1" applyAlignment="1"/>
    <xf numFmtId="9" fontId="0" fillId="0" borderId="11" xfId="0" applyNumberFormat="1" applyBorder="1"/>
    <xf numFmtId="16" fontId="0" fillId="0" borderId="4" xfId="0" applyNumberFormat="1" applyBorder="1"/>
    <xf numFmtId="0" fontId="0" fillId="0" borderId="11" xfId="0" applyBorder="1"/>
    <xf numFmtId="0" fontId="0" fillId="0" borderId="6" xfId="0" applyBorder="1"/>
    <xf numFmtId="0" fontId="0" fillId="0" borderId="7" xfId="0" applyBorder="1"/>
    <xf numFmtId="9" fontId="0" fillId="0" borderId="8" xfId="1" applyFont="1" applyBorder="1"/>
    <xf numFmtId="0" fontId="2" fillId="2" borderId="8" xfId="0" applyFont="1" applyFill="1" applyBorder="1" applyAlignment="1">
      <alignment horizontal="center"/>
    </xf>
    <xf numFmtId="2" fontId="0" fillId="0" borderId="10" xfId="0" applyNumberFormat="1" applyBorder="1"/>
    <xf numFmtId="9" fontId="0" fillId="0" borderId="0" xfId="1" applyFont="1" applyBorder="1"/>
    <xf numFmtId="9" fontId="0" fillId="0" borderId="10" xfId="1" applyFont="1" applyBorder="1"/>
    <xf numFmtId="9" fontId="0" fillId="0" borderId="10" xfId="0" applyNumberFormat="1" applyBorder="1"/>
    <xf numFmtId="0" fontId="0" fillId="0" borderId="4" xfId="0" applyBorder="1" applyAlignment="1">
      <alignment horizontal="left"/>
    </xf>
    <xf numFmtId="0" fontId="2" fillId="2" borderId="6" xfId="0" applyFont="1" applyFill="1" applyBorder="1" applyAlignment="1">
      <alignment horizontal="left"/>
    </xf>
    <xf numFmtId="0" fontId="2" fillId="2" borderId="7" xfId="0" applyFont="1" applyFill="1" applyBorder="1" applyAlignment="1">
      <alignment horizontal="left"/>
    </xf>
    <xf numFmtId="0" fontId="2" fillId="2" borderId="8" xfId="0" applyFont="1" applyFill="1" applyBorder="1" applyAlignment="1">
      <alignment horizontal="left"/>
    </xf>
    <xf numFmtId="0" fontId="0" fillId="0" borderId="0" xfId="0" applyFill="1" applyBorder="1"/>
    <xf numFmtId="0" fontId="0" fillId="0" borderId="0" xfId="0" applyAlignment="1">
      <alignment horizontal="left"/>
    </xf>
    <xf numFmtId="0" fontId="2" fillId="2" borderId="7" xfId="0" applyFont="1" applyFill="1" applyBorder="1" applyAlignment="1">
      <alignment horizontal="right"/>
    </xf>
    <xf numFmtId="0" fontId="0" fillId="0" borderId="9" xfId="0" applyBorder="1" applyAlignment="1">
      <alignment horizontal="left"/>
    </xf>
    <xf numFmtId="0" fontId="0" fillId="0" borderId="10" xfId="0" applyBorder="1" applyAlignment="1">
      <alignment horizontal="left"/>
    </xf>
    <xf numFmtId="0" fontId="0" fillId="0" borderId="9" xfId="0" applyFill="1" applyBorder="1" applyAlignment="1">
      <alignment horizontal="left"/>
    </xf>
    <xf numFmtId="0" fontId="0" fillId="0" borderId="0" xfId="0" applyBorder="1" applyAlignment="1">
      <alignment horizontal="left"/>
    </xf>
    <xf numFmtId="0" fontId="2" fillId="2" borderId="1" xfId="0" applyFont="1" applyFill="1" applyBorder="1" applyAlignment="1">
      <alignment horizontal="left"/>
    </xf>
    <xf numFmtId="0" fontId="2" fillId="2" borderId="2" xfId="0" applyFont="1" applyFill="1" applyBorder="1" applyAlignment="1">
      <alignment horizontal="right"/>
    </xf>
    <xf numFmtId="0" fontId="2" fillId="2" borderId="3" xfId="0" applyFont="1" applyFill="1" applyBorder="1" applyAlignment="1">
      <alignment horizontal="right"/>
    </xf>
    <xf numFmtId="9" fontId="0" fillId="0" borderId="5" xfId="1" applyFont="1" applyBorder="1" applyAlignment="1">
      <alignment horizontal="right"/>
    </xf>
    <xf numFmtId="9" fontId="0" fillId="0" borderId="11" xfId="1" applyFont="1" applyBorder="1" applyAlignment="1">
      <alignment horizontal="right"/>
    </xf>
    <xf numFmtId="1" fontId="0" fillId="0" borderId="4" xfId="0" applyNumberFormat="1" applyBorder="1" applyAlignment="1">
      <alignment horizontal="left"/>
    </xf>
    <xf numFmtId="1" fontId="0" fillId="0" borderId="0" xfId="0" applyNumberFormat="1" applyBorder="1" applyAlignment="1">
      <alignment horizontal="right"/>
    </xf>
    <xf numFmtId="1" fontId="0" fillId="0" borderId="9" xfId="0" applyNumberFormat="1" applyBorder="1" applyAlignment="1">
      <alignment horizontal="left"/>
    </xf>
    <xf numFmtId="1" fontId="0" fillId="0" borderId="10" xfId="0" applyNumberFormat="1" applyBorder="1" applyAlignment="1">
      <alignment horizontal="right"/>
    </xf>
    <xf numFmtId="0" fontId="0" fillId="0" borderId="10" xfId="0" applyBorder="1" applyAlignment="1">
      <alignment horizontal="right"/>
    </xf>
    <xf numFmtId="2" fontId="0" fillId="0" borderId="10" xfId="0" applyNumberFormat="1" applyBorder="1" applyAlignment="1">
      <alignment horizontal="right"/>
    </xf>
    <xf numFmtId="0" fontId="0" fillId="0" borderId="0" xfId="0" applyFill="1" applyBorder="1" applyAlignment="1">
      <alignment horizontal="left"/>
    </xf>
    <xf numFmtId="0" fontId="2" fillId="2" borderId="8" xfId="0" applyFont="1" applyFill="1" applyBorder="1" applyAlignment="1">
      <alignment horizontal="right"/>
    </xf>
    <xf numFmtId="0" fontId="2" fillId="2" borderId="2" xfId="0" applyFont="1" applyFill="1" applyBorder="1" applyAlignment="1">
      <alignment horizontal="left"/>
    </xf>
    <xf numFmtId="0" fontId="0" fillId="0" borderId="9" xfId="0" applyFill="1" applyBorder="1" applyAlignment="1"/>
    <xf numFmtId="0" fontId="0" fillId="0" borderId="0" xfId="0" applyFill="1"/>
    <xf numFmtId="0" fontId="2" fillId="2" borderId="3" xfId="0" applyFont="1" applyFill="1" applyBorder="1" applyAlignment="1">
      <alignment horizontal="left"/>
    </xf>
    <xf numFmtId="0" fontId="0" fillId="0" borderId="0" xfId="0" applyAlignment="1"/>
    <xf numFmtId="0" fontId="0" fillId="0" borderId="9" xfId="0" applyFill="1" applyBorder="1" applyAlignment="1">
      <alignment wrapText="1"/>
    </xf>
    <xf numFmtId="0" fontId="0" fillId="0" borderId="0" xfId="0" applyFill="1" applyBorder="1" applyAlignment="1"/>
    <xf numFmtId="0" fontId="0" fillId="0" borderId="0" xfId="0" applyBorder="1" applyAlignment="1"/>
    <xf numFmtId="0" fontId="0" fillId="0" borderId="1" xfId="0" applyBorder="1" applyAlignment="1"/>
    <xf numFmtId="0" fontId="0" fillId="0" borderId="1" xfId="0" applyFill="1" applyBorder="1" applyAlignment="1"/>
    <xf numFmtId="0" fontId="0" fillId="0" borderId="10" xfId="0" applyFill="1" applyBorder="1"/>
    <xf numFmtId="2" fontId="0" fillId="0" borderId="10" xfId="0" applyNumberFormat="1" applyFill="1" applyBorder="1"/>
    <xf numFmtId="0" fontId="2" fillId="2" borderId="0" xfId="0" applyFont="1" applyFill="1" applyBorder="1"/>
    <xf numFmtId="0" fontId="0" fillId="0" borderId="4" xfId="0" applyFill="1" applyBorder="1"/>
    <xf numFmtId="164" fontId="0" fillId="0" borderId="10" xfId="0" applyNumberFormat="1" applyFill="1" applyBorder="1"/>
    <xf numFmtId="0" fontId="0" fillId="0" borderId="5" xfId="0" applyBorder="1"/>
    <xf numFmtId="0" fontId="0" fillId="0" borderId="4" xfId="0" applyFill="1" applyBorder="1" applyAlignment="1">
      <alignment horizontal="left"/>
    </xf>
    <xf numFmtId="164" fontId="0" fillId="0" borderId="11" xfId="0" applyNumberFormat="1" applyBorder="1"/>
    <xf numFmtId="0" fontId="0" fillId="0" borderId="4" xfId="0" applyFont="1" applyBorder="1"/>
    <xf numFmtId="0" fontId="0" fillId="0" borderId="9" xfId="0" applyFont="1" applyBorder="1"/>
    <xf numFmtId="0" fontId="2" fillId="2" borderId="1" xfId="0" applyFont="1" applyFill="1" applyBorder="1" applyAlignment="1">
      <alignment horizontal="center"/>
    </xf>
    <xf numFmtId="0" fontId="0" fillId="0" borderId="3" xfId="0" applyBorder="1"/>
    <xf numFmtId="0" fontId="5" fillId="0" borderId="1" xfId="0" applyFont="1" applyBorder="1"/>
    <xf numFmtId="0" fontId="5" fillId="0" borderId="3" xfId="0" applyFont="1" applyBorder="1"/>
    <xf numFmtId="9" fontId="0" fillId="0" borderId="5" xfId="1" applyNumberFormat="1" applyFont="1" applyBorder="1"/>
    <xf numFmtId="9" fontId="0" fillId="0" borderId="11" xfId="1" applyNumberFormat="1" applyFont="1" applyBorder="1"/>
    <xf numFmtId="9" fontId="0" fillId="0" borderId="0" xfId="0" applyNumberFormat="1" applyBorder="1"/>
    <xf numFmtId="0" fontId="2" fillId="2" borderId="3" xfId="0" applyFont="1" applyFill="1" applyBorder="1" applyAlignment="1">
      <alignment horizontal="center"/>
    </xf>
    <xf numFmtId="0" fontId="2" fillId="2" borderId="2" xfId="0" applyFont="1" applyFill="1" applyBorder="1" applyAlignment="1">
      <alignment horizontal="center"/>
    </xf>
    <xf numFmtId="0" fontId="4" fillId="0" borderId="0" xfId="0" applyFont="1" applyAlignment="1">
      <alignment vertical="center"/>
    </xf>
    <xf numFmtId="0" fontId="2" fillId="2" borderId="3" xfId="0" applyFont="1" applyFill="1" applyBorder="1" applyAlignment="1">
      <alignment horizontal="center"/>
    </xf>
    <xf numFmtId="0" fontId="0" fillId="0" borderId="4" xfId="0" applyFont="1" applyBorder="1" applyAlignment="1">
      <alignment horizontal="left"/>
    </xf>
    <xf numFmtId="0" fontId="0" fillId="0" borderId="0" xfId="0" applyNumberFormat="1" applyFont="1" applyBorder="1"/>
    <xf numFmtId="0" fontId="0" fillId="0" borderId="9" xfId="0" applyFont="1" applyBorder="1" applyAlignment="1">
      <alignment horizontal="left"/>
    </xf>
    <xf numFmtId="0" fontId="0" fillId="0" borderId="10" xfId="0" applyNumberFormat="1" applyFont="1" applyBorder="1"/>
    <xf numFmtId="0" fontId="0" fillId="0" borderId="9" xfId="0" applyFont="1" applyFill="1" applyBorder="1" applyAlignment="1">
      <alignment horizontal="left"/>
    </xf>
    <xf numFmtId="0" fontId="0" fillId="0" borderId="0" xfId="0" applyFont="1" applyFill="1" applyBorder="1" applyAlignment="1">
      <alignment horizontal="left"/>
    </xf>
    <xf numFmtId="9" fontId="0" fillId="0" borderId="0" xfId="1" applyFont="1" applyBorder="1" applyAlignment="1">
      <alignment horizontal="right"/>
    </xf>
    <xf numFmtId="0" fontId="0" fillId="0" borderId="0" xfId="0" applyFont="1" applyBorder="1" applyAlignment="1">
      <alignment horizontal="left"/>
    </xf>
    <xf numFmtId="0" fontId="0" fillId="0" borderId="5" xfId="0" applyFont="1" applyBorder="1" applyAlignment="1">
      <alignment horizontal="left"/>
    </xf>
    <xf numFmtId="0" fontId="6" fillId="0" borderId="9" xfId="0" applyFont="1" applyFill="1" applyBorder="1"/>
    <xf numFmtId="0" fontId="0" fillId="0" borderId="10" xfId="0" applyFont="1" applyBorder="1" applyAlignment="1">
      <alignment horizontal="left"/>
    </xf>
    <xf numFmtId="0" fontId="4" fillId="0" borderId="0" xfId="0" applyFont="1"/>
    <xf numFmtId="165" fontId="0" fillId="0" borderId="2" xfId="0" applyNumberFormat="1" applyBorder="1"/>
    <xf numFmtId="166" fontId="0" fillId="0" borderId="2" xfId="0" applyNumberFormat="1" applyBorder="1"/>
    <xf numFmtId="0" fontId="4" fillId="0" borderId="0" xfId="0" applyFont="1" applyAlignment="1"/>
    <xf numFmtId="9" fontId="0" fillId="0" borderId="0" xfId="1" applyFont="1" applyBorder="1" applyAlignment="1">
      <alignment horizontal="left"/>
    </xf>
    <xf numFmtId="9" fontId="0" fillId="0" borderId="11" xfId="1" applyFont="1" applyBorder="1" applyAlignment="1"/>
    <xf numFmtId="9" fontId="0" fillId="0" borderId="3" xfId="1" applyFont="1" applyBorder="1" applyAlignment="1">
      <alignment horizontal="left"/>
    </xf>
    <xf numFmtId="0" fontId="7" fillId="0" borderId="0" xfId="0" applyFont="1"/>
    <xf numFmtId="0" fontId="0" fillId="0" borderId="2" xfId="0" applyBorder="1" applyAlignment="1"/>
    <xf numFmtId="9" fontId="0" fillId="0" borderId="3" xfId="1" applyFont="1" applyBorder="1" applyAlignment="1">
      <alignment horizontal="right"/>
    </xf>
    <xf numFmtId="0" fontId="6" fillId="0" borderId="0" xfId="0" applyFont="1" applyFill="1" applyBorder="1"/>
    <xf numFmtId="0" fontId="6" fillId="0" borderId="4" xfId="0" applyFont="1" applyFill="1" applyBorder="1"/>
    <xf numFmtId="9" fontId="0" fillId="0" borderId="3" xfId="1" applyFont="1" applyBorder="1" applyAlignment="1"/>
    <xf numFmtId="0" fontId="6" fillId="0" borderId="1" xfId="0" applyFont="1" applyFill="1" applyBorder="1"/>
    <xf numFmtId="9" fontId="0" fillId="0" borderId="5" xfId="1" applyFont="1" applyBorder="1" applyAlignment="1"/>
    <xf numFmtId="0" fontId="2" fillId="2" borderId="7" xfId="0" applyFont="1" applyFill="1" applyBorder="1" applyAlignment="1">
      <alignment horizontal="center"/>
    </xf>
    <xf numFmtId="1" fontId="0" fillId="0" borderId="2" xfId="0" applyNumberFormat="1" applyBorder="1"/>
    <xf numFmtId="9" fontId="0" fillId="0" borderId="2" xfId="1" applyFont="1" applyBorder="1"/>
    <xf numFmtId="0" fontId="0" fillId="3" borderId="6" xfId="0" applyFill="1" applyBorder="1"/>
    <xf numFmtId="9" fontId="0" fillId="0" borderId="5" xfId="0" applyNumberFormat="1" applyBorder="1"/>
    <xf numFmtId="0" fontId="0" fillId="0" borderId="6" xfId="0" applyBorder="1" applyAlignment="1"/>
    <xf numFmtId="9" fontId="0" fillId="0" borderId="7" xfId="0" applyNumberFormat="1" applyBorder="1"/>
    <xf numFmtId="9" fontId="0" fillId="0" borderId="8" xfId="0" applyNumberFormat="1" applyBorder="1"/>
    <xf numFmtId="0" fontId="4" fillId="0" borderId="0" xfId="0" applyFont="1" applyAlignment="1">
      <alignment vertical="center" wrapText="1"/>
    </xf>
    <xf numFmtId="0" fontId="0" fillId="4" borderId="0" xfId="0" applyFill="1"/>
    <xf numFmtId="0" fontId="0" fillId="0" borderId="1" xfId="0" applyFont="1" applyFill="1" applyBorder="1" applyAlignment="1">
      <alignment horizontal="left"/>
    </xf>
    <xf numFmtId="0" fontId="0" fillId="0" borderId="2" xfId="0" applyFont="1" applyFill="1" applyBorder="1" applyAlignment="1">
      <alignment horizontal="left"/>
    </xf>
    <xf numFmtId="0" fontId="8" fillId="2" borderId="0" xfId="0" applyFont="1" applyFill="1" applyBorder="1" applyAlignment="1">
      <alignment horizontal="right"/>
    </xf>
    <xf numFmtId="0" fontId="8" fillId="2" borderId="0" xfId="0" applyFont="1" applyFill="1" applyBorder="1" applyAlignment="1">
      <alignment horizontal="left"/>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5" fillId="0" borderId="1" xfId="0" applyFont="1" applyBorder="1" applyAlignment="1">
      <alignment horizontal="center"/>
    </xf>
    <xf numFmtId="0" fontId="5" fillId="0" borderId="3" xfId="0" applyFont="1" applyBorder="1" applyAlignment="1">
      <alignment horizontal="center"/>
    </xf>
    <xf numFmtId="0" fontId="5" fillId="0" borderId="2" xfId="0" applyFont="1"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2" xfId="0" applyBorder="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sz="1300"/>
            </a:pPr>
            <a:r>
              <a:rPr lang="en-US" sz="1300"/>
              <a:t>Family age distribution</a:t>
            </a:r>
          </a:p>
        </c:rich>
      </c:tx>
      <c:layout>
        <c:manualLayout>
          <c:xMode val="edge"/>
          <c:yMode val="edge"/>
          <c:x val="0.35387489063867017"/>
          <c:y val="3.7470735208279753E-2"/>
        </c:manualLayout>
      </c:layout>
      <c:overlay val="0"/>
    </c:title>
    <c:autoTitleDeleted val="0"/>
    <c:plotArea>
      <c:layout>
        <c:manualLayout>
          <c:layoutTarget val="inner"/>
          <c:xMode val="edge"/>
          <c:yMode val="edge"/>
          <c:x val="0.190502624671916"/>
          <c:y val="0.19359879857611206"/>
          <c:w val="0.64898447069116361"/>
          <c:h val="0.68117616802231717"/>
        </c:manualLayout>
      </c:layout>
      <c:barChart>
        <c:barDir val="bar"/>
        <c:grouping val="clustered"/>
        <c:varyColors val="0"/>
        <c:ser>
          <c:idx val="1"/>
          <c:order val="0"/>
          <c:tx>
            <c:strRef>
              <c:f>'2'!$D$4</c:f>
              <c:strCache>
                <c:ptCount val="1"/>
                <c:pt idx="0">
                  <c:v>Male</c:v>
                </c:pt>
              </c:strCache>
            </c:strRef>
          </c:tx>
          <c:invertIfNegative val="0"/>
          <c:cat>
            <c:strRef>
              <c:f>'2'!$B$5:$B$10</c:f>
              <c:strCache>
                <c:ptCount val="6"/>
                <c:pt idx="0">
                  <c:v>&lt; 5 years</c:v>
                </c:pt>
                <c:pt idx="1">
                  <c:v>5 - 11 years</c:v>
                </c:pt>
                <c:pt idx="2">
                  <c:v>12 - 17 years</c:v>
                </c:pt>
                <c:pt idx="3">
                  <c:v>18 - 24 years</c:v>
                </c:pt>
                <c:pt idx="4">
                  <c:v>25 - 59 years</c:v>
                </c:pt>
                <c:pt idx="5">
                  <c:v>&gt; 60 </c:v>
                </c:pt>
              </c:strCache>
            </c:strRef>
          </c:cat>
          <c:val>
            <c:numRef>
              <c:f>'2'!$D$5:$D$10</c:f>
              <c:numCache>
                <c:formatCode>0%</c:formatCode>
                <c:ptCount val="6"/>
                <c:pt idx="0">
                  <c:v>0</c:v>
                </c:pt>
                <c:pt idx="1">
                  <c:v>0</c:v>
                </c:pt>
                <c:pt idx="2">
                  <c:v>0</c:v>
                </c:pt>
                <c:pt idx="3">
                  <c:v>0</c:v>
                </c:pt>
                <c:pt idx="4">
                  <c:v>0</c:v>
                </c:pt>
                <c:pt idx="5">
                  <c:v>0</c:v>
                </c:pt>
              </c:numCache>
            </c:numRef>
          </c:val>
        </c:ser>
        <c:ser>
          <c:idx val="4"/>
          <c:order val="1"/>
          <c:tx>
            <c:strRef>
              <c:f>'2'!$F$4</c:f>
              <c:strCache>
                <c:ptCount val="1"/>
                <c:pt idx="0">
                  <c:v>Female</c:v>
                </c:pt>
              </c:strCache>
            </c:strRef>
          </c:tx>
          <c:invertIfNegative val="0"/>
          <c:cat>
            <c:strRef>
              <c:f>'2'!$B$5:$B$10</c:f>
              <c:strCache>
                <c:ptCount val="6"/>
                <c:pt idx="0">
                  <c:v>&lt; 5 years</c:v>
                </c:pt>
                <c:pt idx="1">
                  <c:v>5 - 11 years</c:v>
                </c:pt>
                <c:pt idx="2">
                  <c:v>12 - 17 years</c:v>
                </c:pt>
                <c:pt idx="3">
                  <c:v>18 - 24 years</c:v>
                </c:pt>
                <c:pt idx="4">
                  <c:v>25 - 59 years</c:v>
                </c:pt>
                <c:pt idx="5">
                  <c:v>&gt; 60 </c:v>
                </c:pt>
              </c:strCache>
            </c:strRef>
          </c:cat>
          <c:val>
            <c:numRef>
              <c:f>'2'!$F$5:$F$10</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8"/>
        <c:overlap val="98"/>
        <c:axId val="91765760"/>
        <c:axId val="91800320"/>
      </c:barChart>
      <c:catAx>
        <c:axId val="91765760"/>
        <c:scaling>
          <c:orientation val="minMax"/>
        </c:scaling>
        <c:delete val="0"/>
        <c:axPos val="l"/>
        <c:majorTickMark val="out"/>
        <c:minorTickMark val="none"/>
        <c:tickLblPos val="low"/>
        <c:crossAx val="91800320"/>
        <c:crosses val="autoZero"/>
        <c:auto val="1"/>
        <c:lblAlgn val="ctr"/>
        <c:lblOffset val="100"/>
        <c:noMultiLvlLbl val="0"/>
      </c:catAx>
      <c:valAx>
        <c:axId val="91800320"/>
        <c:scaling>
          <c:orientation val="minMax"/>
        </c:scaling>
        <c:delete val="0"/>
        <c:axPos val="b"/>
        <c:majorGridlines/>
        <c:numFmt formatCode="0%" sourceLinked="1"/>
        <c:majorTickMark val="out"/>
        <c:minorTickMark val="none"/>
        <c:tickLblPos val="nextTo"/>
        <c:crossAx val="9176576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pPr>
            <a:r>
              <a:rPr lang="en-US" sz="1300"/>
              <a:t>Current</a:t>
            </a:r>
            <a:r>
              <a:rPr lang="en-US" sz="1300" baseline="0"/>
              <a:t> location arrival</a:t>
            </a:r>
            <a:endParaRPr lang="en-US" sz="1300"/>
          </a:p>
        </c:rich>
      </c:tx>
      <c:layout/>
      <c:overlay val="0"/>
    </c:title>
    <c:autoTitleDeleted val="0"/>
    <c:plotArea>
      <c:layout/>
      <c:barChart>
        <c:barDir val="col"/>
        <c:grouping val="clustered"/>
        <c:varyColors val="0"/>
        <c:ser>
          <c:idx val="1"/>
          <c:order val="0"/>
          <c:tx>
            <c:strRef>
              <c:f>'4'!$D$21</c:f>
              <c:strCache>
                <c:ptCount val="1"/>
                <c:pt idx="0">
                  <c:v>% Frequency</c:v>
                </c:pt>
              </c:strCache>
            </c:strRef>
          </c:tx>
          <c:invertIfNegative val="0"/>
          <c:cat>
            <c:strRef>
              <c:f>'4'!$B$22:$B$25</c:f>
              <c:strCache>
                <c:ptCount val="4"/>
                <c:pt idx="0">
                  <c:v>&gt;1 year ago</c:v>
                </c:pt>
                <c:pt idx="1">
                  <c:v>6 - 12 months ago</c:v>
                </c:pt>
                <c:pt idx="2">
                  <c:v>1 - 5 months ago</c:v>
                </c:pt>
                <c:pt idx="3">
                  <c:v>&lt;1 month ago</c:v>
                </c:pt>
              </c:strCache>
            </c:strRef>
          </c:cat>
          <c:val>
            <c:numRef>
              <c:f>'4'!$D$22:$D$25</c:f>
              <c:numCache>
                <c:formatCode>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01180544"/>
        <c:axId val="101182080"/>
      </c:barChart>
      <c:catAx>
        <c:axId val="101180544"/>
        <c:scaling>
          <c:orientation val="minMax"/>
        </c:scaling>
        <c:delete val="0"/>
        <c:axPos val="b"/>
        <c:majorTickMark val="out"/>
        <c:minorTickMark val="none"/>
        <c:tickLblPos val="nextTo"/>
        <c:crossAx val="101182080"/>
        <c:crosses val="autoZero"/>
        <c:auto val="1"/>
        <c:lblAlgn val="ctr"/>
        <c:lblOffset val="100"/>
        <c:noMultiLvlLbl val="0"/>
      </c:catAx>
      <c:valAx>
        <c:axId val="101182080"/>
        <c:scaling>
          <c:orientation val="minMax"/>
        </c:scaling>
        <c:delete val="0"/>
        <c:axPos val="l"/>
        <c:majorGridlines/>
        <c:numFmt formatCode="0%" sourceLinked="1"/>
        <c:majorTickMark val="out"/>
        <c:minorTickMark val="none"/>
        <c:tickLblPos val="nextTo"/>
        <c:crossAx val="101180544"/>
        <c:crosses val="autoZero"/>
        <c:crossBetween val="between"/>
      </c:valAx>
    </c:plotArea>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pPr>
            <a:r>
              <a:rPr lang="en-US" sz="1300"/>
              <a:t>Settlement motivation factor</a:t>
            </a:r>
          </a:p>
        </c:rich>
      </c:tx>
      <c:layout/>
      <c:overlay val="0"/>
    </c:title>
    <c:autoTitleDeleted val="0"/>
    <c:plotArea>
      <c:layout/>
      <c:barChart>
        <c:barDir val="col"/>
        <c:grouping val="clustered"/>
        <c:varyColors val="0"/>
        <c:ser>
          <c:idx val="1"/>
          <c:order val="0"/>
          <c:tx>
            <c:strRef>
              <c:f>'4'!$D$30</c:f>
              <c:strCache>
                <c:ptCount val="1"/>
                <c:pt idx="0">
                  <c:v>% Frequency</c:v>
                </c:pt>
              </c:strCache>
            </c:strRef>
          </c:tx>
          <c:invertIfNegative val="0"/>
          <c:cat>
            <c:strRef>
              <c:f>'4'!$B$31:$B$37</c:f>
              <c:strCache>
                <c:ptCount val="7"/>
                <c:pt idx="0">
                  <c:v>Security</c:v>
                </c:pt>
                <c:pt idx="1">
                  <c:v>Shelter</c:v>
                </c:pt>
                <c:pt idx="2">
                  <c:v>Access to education</c:v>
                </c:pt>
                <c:pt idx="3">
                  <c:v>Access to health</c:v>
                </c:pt>
                <c:pt idx="4">
                  <c:v>Access to livelihoods</c:v>
                </c:pt>
                <c:pt idx="5">
                  <c:v>Land tenure</c:v>
                </c:pt>
                <c:pt idx="6">
                  <c:v>Other</c:v>
                </c:pt>
              </c:strCache>
            </c:strRef>
          </c:cat>
          <c:val>
            <c:numRef>
              <c:f>'4'!$D$31:$D$37</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axId val="101210368"/>
        <c:axId val="101220352"/>
      </c:barChart>
      <c:catAx>
        <c:axId val="101210368"/>
        <c:scaling>
          <c:orientation val="minMax"/>
        </c:scaling>
        <c:delete val="0"/>
        <c:axPos val="b"/>
        <c:majorTickMark val="out"/>
        <c:minorTickMark val="none"/>
        <c:tickLblPos val="nextTo"/>
        <c:crossAx val="101220352"/>
        <c:crosses val="autoZero"/>
        <c:auto val="1"/>
        <c:lblAlgn val="ctr"/>
        <c:lblOffset val="100"/>
        <c:noMultiLvlLbl val="0"/>
      </c:catAx>
      <c:valAx>
        <c:axId val="101220352"/>
        <c:scaling>
          <c:orientation val="minMax"/>
        </c:scaling>
        <c:delete val="0"/>
        <c:axPos val="l"/>
        <c:majorGridlines/>
        <c:numFmt formatCode="0%" sourceLinked="1"/>
        <c:majorTickMark val="out"/>
        <c:minorTickMark val="none"/>
        <c:tickLblPos val="nextTo"/>
        <c:crossAx val="101210368"/>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sz="1300"/>
            </a:pPr>
            <a:r>
              <a:rPr lang="en-US" sz="1300"/>
              <a:t>Return conditions to place of origin</a:t>
            </a:r>
          </a:p>
        </c:rich>
      </c:tx>
      <c:layout>
        <c:manualLayout>
          <c:xMode val="edge"/>
          <c:yMode val="edge"/>
          <c:x val="0.1146839820377903"/>
          <c:y val="3.6817890595783047E-2"/>
        </c:manualLayout>
      </c:layout>
      <c:overlay val="0"/>
    </c:title>
    <c:autoTitleDeleted val="0"/>
    <c:plotArea>
      <c:layout/>
      <c:pieChart>
        <c:varyColors val="1"/>
        <c:ser>
          <c:idx val="0"/>
          <c:order val="0"/>
          <c:tx>
            <c:strRef>
              <c:f>'4'!$D$50</c:f>
              <c:strCache>
                <c:ptCount val="1"/>
                <c:pt idx="0">
                  <c:v>% Frequency</c:v>
                </c:pt>
              </c:strCache>
            </c:strRef>
          </c:tx>
          <c:dLbls>
            <c:showLegendKey val="0"/>
            <c:showVal val="1"/>
            <c:showCatName val="0"/>
            <c:showSerName val="0"/>
            <c:showPercent val="0"/>
            <c:showBubbleSize val="0"/>
            <c:showLeaderLines val="1"/>
          </c:dLbls>
          <c:cat>
            <c:strRef>
              <c:f>'4'!$B$51:$B$58</c:f>
              <c:strCache>
                <c:ptCount val="8"/>
                <c:pt idx="0">
                  <c:v>Under any condition</c:v>
                </c:pt>
                <c:pt idx="1">
                  <c:v>Improved security</c:v>
                </c:pt>
                <c:pt idx="2">
                  <c:v>If chances of a good harvest increase</c:v>
                </c:pt>
                <c:pt idx="3">
                  <c:v>If transport is provided</c:v>
                </c:pt>
                <c:pt idx="4">
                  <c:v>Access to health facilities</c:v>
                </c:pt>
                <c:pt idx="5">
                  <c:v>Access to education facilities</c:v>
                </c:pt>
                <c:pt idx="6">
                  <c:v>If agricultural tools and seeds provided</c:v>
                </c:pt>
                <c:pt idx="7">
                  <c:v>Other</c:v>
                </c:pt>
              </c:strCache>
            </c:strRef>
          </c:cat>
          <c:val>
            <c:numRef>
              <c:f>'4'!$D$51:$D$58</c:f>
              <c:numCache>
                <c:formatCode>0%</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5007674988493735"/>
          <c:y val="0.1665692725091289"/>
          <c:w val="0.33009711286089238"/>
          <c:h val="0.80187253555162863"/>
        </c:manualLayout>
      </c:layout>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sz="1300"/>
            </a:pPr>
            <a:r>
              <a:rPr lang="en-US" sz="1300"/>
              <a:t>What to do with curent shelter</a:t>
            </a:r>
          </a:p>
        </c:rich>
      </c:tx>
      <c:layout>
        <c:manualLayout>
          <c:xMode val="edge"/>
          <c:yMode val="edge"/>
          <c:x val="0.10513372323636394"/>
          <c:y val="4.87804565773916E-2"/>
        </c:manualLayout>
      </c:layout>
      <c:overlay val="0"/>
    </c:title>
    <c:autoTitleDeleted val="0"/>
    <c:plotArea>
      <c:layout/>
      <c:pieChart>
        <c:varyColors val="1"/>
        <c:ser>
          <c:idx val="0"/>
          <c:order val="0"/>
          <c:tx>
            <c:strRef>
              <c:f>'4'!$D$63</c:f>
              <c:strCache>
                <c:ptCount val="1"/>
                <c:pt idx="0">
                  <c:v>% Frequency</c:v>
                </c:pt>
              </c:strCache>
            </c:strRef>
          </c:tx>
          <c:cat>
            <c:strRef>
              <c:f>'4'!$B$64:$B$68</c:f>
              <c:strCache>
                <c:ptCount val="5"/>
                <c:pt idx="0">
                  <c:v>Sell</c:v>
                </c:pt>
                <c:pt idx="1">
                  <c:v>Take with you</c:v>
                </c:pt>
                <c:pt idx="2">
                  <c:v>Give away</c:v>
                </c:pt>
                <c:pt idx="3">
                  <c:v>Other</c:v>
                </c:pt>
                <c:pt idx="4">
                  <c:v>Leave It behind</c:v>
                </c:pt>
              </c:strCache>
            </c:strRef>
          </c:cat>
          <c:val>
            <c:numRef>
              <c:f>'4'!$D$64:$D$68</c:f>
              <c:numCache>
                <c:formatCode>0%</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1"/>
        </c:dLbls>
        <c:firstSliceAng val="0"/>
      </c:pie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pPr>
            <a:r>
              <a:rPr lang="en-US" sz="1300"/>
              <a:t>Amount sold</a:t>
            </a:r>
          </a:p>
        </c:rich>
      </c:tx>
      <c:layout/>
      <c:overlay val="0"/>
    </c:title>
    <c:autoTitleDeleted val="0"/>
    <c:plotArea>
      <c:layout>
        <c:manualLayout>
          <c:layoutTarget val="inner"/>
          <c:xMode val="edge"/>
          <c:yMode val="edge"/>
          <c:x val="7.7960629921259836E-2"/>
          <c:y val="0.19480351414406533"/>
          <c:w val="0.92203937007874015"/>
          <c:h val="0.51655329542140571"/>
        </c:manualLayout>
      </c:layout>
      <c:barChart>
        <c:barDir val="col"/>
        <c:grouping val="clustered"/>
        <c:varyColors val="0"/>
        <c:ser>
          <c:idx val="1"/>
          <c:order val="0"/>
          <c:tx>
            <c:strRef>
              <c:f>'4'!$D$72</c:f>
              <c:strCache>
                <c:ptCount val="1"/>
                <c:pt idx="0">
                  <c:v>% Frequency</c:v>
                </c:pt>
              </c:strCache>
            </c:strRef>
          </c:tx>
          <c:invertIfNegative val="0"/>
          <c:cat>
            <c:strRef>
              <c:f>'4'!$B$73:$B$82</c:f>
              <c:strCache>
                <c:ptCount val="10"/>
                <c:pt idx="0">
                  <c:v>  &lt;20</c:v>
                </c:pt>
                <c:pt idx="1">
                  <c:v>  20 - 39</c:v>
                </c:pt>
                <c:pt idx="2">
                  <c:v>  40 - 59</c:v>
                </c:pt>
                <c:pt idx="3">
                  <c:v>  60 - 79</c:v>
                </c:pt>
                <c:pt idx="4">
                  <c:v>  80 - 99</c:v>
                </c:pt>
                <c:pt idx="5">
                  <c:v>  100-119</c:v>
                </c:pt>
                <c:pt idx="6">
                  <c:v>  120-139</c:v>
                </c:pt>
                <c:pt idx="7">
                  <c:v>  140-159</c:v>
                </c:pt>
                <c:pt idx="8">
                  <c:v>  160-189</c:v>
                </c:pt>
                <c:pt idx="9">
                  <c:v>  &gt;189</c:v>
                </c:pt>
              </c:strCache>
            </c:strRef>
          </c:cat>
          <c:val>
            <c:numRef>
              <c:f>'4'!$D$73:$D$82</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150"/>
        <c:axId val="104440576"/>
        <c:axId val="104442496"/>
      </c:barChart>
      <c:catAx>
        <c:axId val="104440576"/>
        <c:scaling>
          <c:orientation val="minMax"/>
        </c:scaling>
        <c:delete val="0"/>
        <c:axPos val="b"/>
        <c:title>
          <c:tx>
            <c:rich>
              <a:bodyPr/>
              <a:lstStyle/>
              <a:p>
                <a:pPr>
                  <a:defRPr/>
                </a:pPr>
                <a:r>
                  <a:rPr lang="en-US"/>
                  <a:t>Amount</a:t>
                </a:r>
                <a:r>
                  <a:rPr lang="en-US" baseline="0"/>
                  <a:t> (USD)</a:t>
                </a:r>
                <a:endParaRPr lang="en-US"/>
              </a:p>
            </c:rich>
          </c:tx>
          <c:layout/>
          <c:overlay val="0"/>
        </c:title>
        <c:majorTickMark val="out"/>
        <c:minorTickMark val="none"/>
        <c:tickLblPos val="nextTo"/>
        <c:crossAx val="104442496"/>
        <c:crosses val="autoZero"/>
        <c:auto val="1"/>
        <c:lblAlgn val="ctr"/>
        <c:lblOffset val="100"/>
        <c:noMultiLvlLbl val="0"/>
      </c:catAx>
      <c:valAx>
        <c:axId val="104442496"/>
        <c:scaling>
          <c:orientation val="minMax"/>
        </c:scaling>
        <c:delete val="0"/>
        <c:axPos val="l"/>
        <c:majorGridlines/>
        <c:numFmt formatCode="0%" sourceLinked="1"/>
        <c:majorTickMark val="out"/>
        <c:minorTickMark val="none"/>
        <c:tickLblPos val="nextTo"/>
        <c:crossAx val="104440576"/>
        <c:crosses val="autoZero"/>
        <c:crossBetween val="between"/>
      </c:valAx>
    </c:plotArea>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pPr>
            <a:r>
              <a:rPr lang="en-US" sz="1300"/>
              <a:t>Reasons for staying in the current locatoion</a:t>
            </a:r>
          </a:p>
        </c:rich>
      </c:tx>
      <c:layout/>
      <c:overlay val="0"/>
    </c:title>
    <c:autoTitleDeleted val="0"/>
    <c:plotArea>
      <c:layout/>
      <c:barChart>
        <c:barDir val="col"/>
        <c:grouping val="clustered"/>
        <c:varyColors val="0"/>
        <c:ser>
          <c:idx val="1"/>
          <c:order val="0"/>
          <c:tx>
            <c:strRef>
              <c:f>'4'!$D$87</c:f>
              <c:strCache>
                <c:ptCount val="1"/>
                <c:pt idx="0">
                  <c:v>% Frequency</c:v>
                </c:pt>
              </c:strCache>
            </c:strRef>
          </c:tx>
          <c:invertIfNegative val="0"/>
          <c:cat>
            <c:strRef>
              <c:f>'4'!$B$88:$B$94</c:f>
              <c:strCache>
                <c:ptCount val="7"/>
                <c:pt idx="0">
                  <c:v>No relation with place of origin anymore</c:v>
                </c:pt>
                <c:pt idx="1">
                  <c:v>No information about place of origin</c:v>
                </c:pt>
                <c:pt idx="2">
                  <c:v>Insecurity in place of origin</c:v>
                </c:pt>
                <c:pt idx="3">
                  <c:v>Want to remain permanently</c:v>
                </c:pt>
                <c:pt idx="4">
                  <c:v>To continue to receive humanitarian assistance</c:v>
                </c:pt>
                <c:pt idx="5">
                  <c:v>Family member has a job here</c:v>
                </c:pt>
                <c:pt idx="6">
                  <c:v>Other</c:v>
                </c:pt>
              </c:strCache>
            </c:strRef>
          </c:cat>
          <c:val>
            <c:numRef>
              <c:f>'4'!$D$88:$D$94</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axId val="104466688"/>
        <c:axId val="104472576"/>
      </c:barChart>
      <c:catAx>
        <c:axId val="104466688"/>
        <c:scaling>
          <c:orientation val="minMax"/>
        </c:scaling>
        <c:delete val="0"/>
        <c:axPos val="b"/>
        <c:majorTickMark val="out"/>
        <c:minorTickMark val="none"/>
        <c:tickLblPos val="nextTo"/>
        <c:crossAx val="104472576"/>
        <c:crosses val="autoZero"/>
        <c:auto val="1"/>
        <c:lblAlgn val="ctr"/>
        <c:lblOffset val="100"/>
        <c:noMultiLvlLbl val="0"/>
      </c:catAx>
      <c:valAx>
        <c:axId val="104472576"/>
        <c:scaling>
          <c:orientation val="minMax"/>
        </c:scaling>
        <c:delete val="0"/>
        <c:axPos val="l"/>
        <c:majorGridlines/>
        <c:numFmt formatCode="0%" sourceLinked="1"/>
        <c:majorTickMark val="out"/>
        <c:minorTickMark val="none"/>
        <c:tickLblPos val="nextTo"/>
        <c:crossAx val="104466688"/>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25004456410161"/>
          <c:y val="0.22566498859773679"/>
          <c:w val="0.8624017899401919"/>
          <c:h val="0.41395809130416072"/>
        </c:manualLayout>
      </c:layout>
      <c:barChart>
        <c:barDir val="col"/>
        <c:grouping val="clustered"/>
        <c:varyColors val="0"/>
        <c:ser>
          <c:idx val="1"/>
          <c:order val="0"/>
          <c:tx>
            <c:strRef>
              <c:f>'6'!$D$42</c:f>
              <c:strCache>
                <c:ptCount val="1"/>
                <c:pt idx="0">
                  <c:v>% Frequency</c:v>
                </c:pt>
              </c:strCache>
            </c:strRef>
          </c:tx>
          <c:invertIfNegative val="0"/>
          <c:cat>
            <c:strRef>
              <c:f>'6'!$B$43:$B$46</c:f>
              <c:strCache>
                <c:ptCount val="4"/>
                <c:pt idx="0">
                  <c:v>Built on my own</c:v>
                </c:pt>
                <c:pt idx="1">
                  <c:v>Received as humanitarian assistance</c:v>
                </c:pt>
                <c:pt idx="2">
                  <c:v>I took it because it was empty</c:v>
                </c:pt>
                <c:pt idx="3">
                  <c:v>Other</c:v>
                </c:pt>
              </c:strCache>
            </c:strRef>
          </c:cat>
          <c:val>
            <c:numRef>
              <c:f>'6'!$D$43:$D$46</c:f>
              <c:numCache>
                <c:formatCode>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04828928"/>
        <c:axId val="104830464"/>
      </c:barChart>
      <c:catAx>
        <c:axId val="104828928"/>
        <c:scaling>
          <c:orientation val="minMax"/>
        </c:scaling>
        <c:delete val="0"/>
        <c:axPos val="b"/>
        <c:majorTickMark val="out"/>
        <c:minorTickMark val="none"/>
        <c:tickLblPos val="nextTo"/>
        <c:crossAx val="104830464"/>
        <c:crosses val="autoZero"/>
        <c:auto val="1"/>
        <c:lblAlgn val="ctr"/>
        <c:lblOffset val="100"/>
        <c:noMultiLvlLbl val="0"/>
      </c:catAx>
      <c:valAx>
        <c:axId val="104830464"/>
        <c:scaling>
          <c:orientation val="minMax"/>
        </c:scaling>
        <c:delete val="0"/>
        <c:axPos val="l"/>
        <c:majorGridlines/>
        <c:numFmt formatCode="0%" sourceLinked="1"/>
        <c:majorTickMark val="out"/>
        <c:minorTickMark val="none"/>
        <c:tickLblPos val="nextTo"/>
        <c:crossAx val="104828928"/>
        <c:crosses val="autoZero"/>
        <c:crossBetween val="between"/>
      </c:valAx>
    </c:plotArea>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476385565633521E-2"/>
          <c:y val="0.24638777694687605"/>
          <c:w val="0.91111379327715081"/>
          <c:h val="0.31551621264733215"/>
        </c:manualLayout>
      </c:layout>
      <c:barChart>
        <c:barDir val="col"/>
        <c:grouping val="clustered"/>
        <c:varyColors val="0"/>
        <c:ser>
          <c:idx val="1"/>
          <c:order val="0"/>
          <c:tx>
            <c:strRef>
              <c:f>'6'!$D$50</c:f>
              <c:strCache>
                <c:ptCount val="1"/>
                <c:pt idx="0">
                  <c:v>% Frequency</c:v>
                </c:pt>
              </c:strCache>
            </c:strRef>
          </c:tx>
          <c:invertIfNegative val="0"/>
          <c:cat>
            <c:strRef>
              <c:f>'6'!$B$51:$B$55</c:f>
              <c:strCache>
                <c:ptCount val="5"/>
                <c:pt idx="0">
                  <c:v>Bought here</c:v>
                </c:pt>
                <c:pt idx="1">
                  <c:v>Brought from elsewhere</c:v>
                </c:pt>
                <c:pt idx="2">
                  <c:v>Found (free)</c:v>
                </c:pt>
                <c:pt idx="3">
                  <c:v>Other</c:v>
                </c:pt>
                <c:pt idx="4">
                  <c:v>Recycled previous shetler</c:v>
                </c:pt>
              </c:strCache>
            </c:strRef>
          </c:cat>
          <c:val>
            <c:numRef>
              <c:f>'6'!$D$51:$D$55</c:f>
              <c:numCache>
                <c:formatCode>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932096"/>
        <c:axId val="104933632"/>
      </c:barChart>
      <c:catAx>
        <c:axId val="104932096"/>
        <c:scaling>
          <c:orientation val="minMax"/>
        </c:scaling>
        <c:delete val="0"/>
        <c:axPos val="b"/>
        <c:majorTickMark val="out"/>
        <c:minorTickMark val="none"/>
        <c:tickLblPos val="nextTo"/>
        <c:crossAx val="104933632"/>
        <c:crosses val="autoZero"/>
        <c:auto val="1"/>
        <c:lblAlgn val="ctr"/>
        <c:lblOffset val="100"/>
        <c:noMultiLvlLbl val="0"/>
      </c:catAx>
      <c:valAx>
        <c:axId val="104933632"/>
        <c:scaling>
          <c:orientation val="minMax"/>
        </c:scaling>
        <c:delete val="0"/>
        <c:axPos val="l"/>
        <c:majorGridlines/>
        <c:numFmt formatCode="0%" sourceLinked="1"/>
        <c:majorTickMark val="out"/>
        <c:minorTickMark val="none"/>
        <c:tickLblPos val="nextTo"/>
        <c:crossAx val="104932096"/>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3.4755030621172356E-2"/>
          <c:y val="0.21247872192304409"/>
          <c:w val="0.7961218042189171"/>
          <c:h val="0.71885428503415716"/>
        </c:manualLayout>
      </c:layout>
      <c:pieChart>
        <c:varyColors val="1"/>
        <c:ser>
          <c:idx val="0"/>
          <c:order val="0"/>
          <c:tx>
            <c:strRef>
              <c:f>'6'!$D$59</c:f>
              <c:strCache>
                <c:ptCount val="1"/>
                <c:pt idx="0">
                  <c:v>% Frequency</c:v>
                </c:pt>
              </c:strCache>
            </c:strRef>
          </c:tx>
          <c:dPt>
            <c:idx val="0"/>
            <c:bubble3D val="0"/>
          </c:dPt>
          <c:dPt>
            <c:idx val="2"/>
            <c:bubble3D val="0"/>
          </c:dPt>
          <c:dPt>
            <c:idx val="3"/>
            <c:bubble3D val="0"/>
          </c:dPt>
          <c:dLbls>
            <c:showLegendKey val="0"/>
            <c:showVal val="1"/>
            <c:showCatName val="0"/>
            <c:showSerName val="0"/>
            <c:showPercent val="0"/>
            <c:showBubbleSize val="0"/>
            <c:showLeaderLines val="1"/>
          </c:dLbls>
          <c:cat>
            <c:strRef>
              <c:f>'6'!$B$60:$B$63</c:f>
              <c:strCache>
                <c:ptCount val="4"/>
                <c:pt idx="0">
                  <c:v>Own</c:v>
                </c:pt>
                <c:pt idx="1">
                  <c:v>Hired</c:v>
                </c:pt>
                <c:pt idx="2">
                  <c:v>Community</c:v>
                </c:pt>
                <c:pt idx="3">
                  <c:v>Other</c:v>
                </c:pt>
              </c:strCache>
            </c:strRef>
          </c:cat>
          <c:val>
            <c:numRef>
              <c:f>'6'!$D$60:$D$63</c:f>
              <c:numCache>
                <c:formatCode>0%</c:formatCode>
                <c:ptCount val="4"/>
                <c:pt idx="0">
                  <c:v>0</c:v>
                </c:pt>
                <c:pt idx="1">
                  <c:v>0</c:v>
                </c:pt>
                <c:pt idx="2">
                  <c:v>0</c:v>
                </c:pt>
                <c:pt idx="3">
                  <c:v>0</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73064870445696661"/>
          <c:y val="0.28135513950236746"/>
          <c:w val="0.19830149703509284"/>
          <c:h val="0.55109831271091114"/>
        </c:manualLayout>
      </c:layout>
      <c:overlay val="0"/>
    </c:legend>
    <c:plotVisOnly val="1"/>
    <c:dispBlanksAs val="gap"/>
    <c:showDLblsOverMax val="0"/>
  </c:chart>
  <c:spPr>
    <a:noFill/>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tx>
            <c:strRef>
              <c:f>'6'!$C$4</c:f>
              <c:strCache>
                <c:ptCount val="1"/>
                <c:pt idx="0">
                  <c:v>Other Shelter</c:v>
                </c:pt>
              </c:strCache>
            </c:strRef>
          </c:tx>
          <c:invertIfNegative val="0"/>
          <c:cat>
            <c:strRef>
              <c:f>'6'!$B$6:$B$10</c:f>
              <c:strCache>
                <c:ptCount val="5"/>
                <c:pt idx="0">
                  <c:v>Earth</c:v>
                </c:pt>
                <c:pt idx="1">
                  <c:v>Plastic Sheet</c:v>
                </c:pt>
                <c:pt idx="2">
                  <c:v>Cement</c:v>
                </c:pt>
                <c:pt idx="3">
                  <c:v>Bricks</c:v>
                </c:pt>
                <c:pt idx="4">
                  <c:v>Other</c:v>
                </c:pt>
              </c:strCache>
            </c:strRef>
          </c:cat>
          <c:val>
            <c:numRef>
              <c:f>'6'!$D$6:$D$10</c:f>
              <c:numCache>
                <c:formatCode>0%</c:formatCode>
                <c:ptCount val="5"/>
                <c:pt idx="0">
                  <c:v>0</c:v>
                </c:pt>
                <c:pt idx="1">
                  <c:v>0</c:v>
                </c:pt>
                <c:pt idx="2">
                  <c:v>0</c:v>
                </c:pt>
                <c:pt idx="3">
                  <c:v>0</c:v>
                </c:pt>
                <c:pt idx="4">
                  <c:v>0</c:v>
                </c:pt>
              </c:numCache>
            </c:numRef>
          </c:val>
        </c:ser>
        <c:ser>
          <c:idx val="2"/>
          <c:order val="1"/>
          <c:tx>
            <c:strRef>
              <c:f>'6'!$E$4</c:f>
              <c:strCache>
                <c:ptCount val="1"/>
                <c:pt idx="0">
                  <c:v>Buul</c:v>
                </c:pt>
              </c:strCache>
            </c:strRef>
          </c:tx>
          <c:invertIfNegative val="0"/>
          <c:cat>
            <c:strRef>
              <c:f>'6'!$B$6:$B$10</c:f>
              <c:strCache>
                <c:ptCount val="5"/>
                <c:pt idx="0">
                  <c:v>Earth</c:v>
                </c:pt>
                <c:pt idx="1">
                  <c:v>Plastic Sheet</c:v>
                </c:pt>
                <c:pt idx="2">
                  <c:v>Cement</c:v>
                </c:pt>
                <c:pt idx="3">
                  <c:v>Bricks</c:v>
                </c:pt>
                <c:pt idx="4">
                  <c:v>Other</c:v>
                </c:pt>
              </c:strCache>
            </c:strRef>
          </c:cat>
          <c:val>
            <c:numRef>
              <c:f>'6'!$F$6:$F$10</c:f>
              <c:numCache>
                <c:formatCode>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973056"/>
        <c:axId val="104974592"/>
      </c:barChart>
      <c:catAx>
        <c:axId val="104973056"/>
        <c:scaling>
          <c:orientation val="minMax"/>
        </c:scaling>
        <c:delete val="0"/>
        <c:axPos val="b"/>
        <c:majorTickMark val="out"/>
        <c:minorTickMark val="none"/>
        <c:tickLblPos val="nextTo"/>
        <c:crossAx val="104974592"/>
        <c:crosses val="autoZero"/>
        <c:auto val="1"/>
        <c:lblAlgn val="ctr"/>
        <c:lblOffset val="100"/>
        <c:noMultiLvlLbl val="0"/>
      </c:catAx>
      <c:valAx>
        <c:axId val="104974592"/>
        <c:scaling>
          <c:orientation val="minMax"/>
        </c:scaling>
        <c:delete val="0"/>
        <c:axPos val="l"/>
        <c:majorGridlines/>
        <c:numFmt formatCode="0%" sourceLinked="0"/>
        <c:majorTickMark val="out"/>
        <c:minorTickMark val="none"/>
        <c:tickLblPos val="nextTo"/>
        <c:crossAx val="104973056"/>
        <c:crosses val="autoZero"/>
        <c:crossBetween val="between"/>
      </c:valAx>
    </c:plotArea>
    <c:legend>
      <c:legendPos val="r"/>
      <c:layout>
        <c:manualLayout>
          <c:xMode val="edge"/>
          <c:yMode val="edge"/>
          <c:x val="0.83079243219597554"/>
          <c:y val="0.2837880912915976"/>
          <c:w val="0.16920756780402449"/>
          <c:h val="0.23239103112875903"/>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pPr>
            <a:r>
              <a:rPr lang="en-US" sz="1300"/>
              <a:t>Livelihood</a:t>
            </a:r>
            <a:r>
              <a:rPr lang="en-US" sz="1300" baseline="0"/>
              <a:t> distance</a:t>
            </a:r>
            <a:endParaRPr lang="en-US" sz="1300"/>
          </a:p>
        </c:rich>
      </c:tx>
      <c:layout>
        <c:manualLayout>
          <c:xMode val="edge"/>
          <c:yMode val="edge"/>
          <c:x val="0.33988888888888891"/>
          <c:y val="4.5197720006352596E-2"/>
        </c:manualLayout>
      </c:layout>
      <c:overlay val="0"/>
    </c:title>
    <c:autoTitleDeleted val="0"/>
    <c:plotArea>
      <c:layout>
        <c:manualLayout>
          <c:layoutTarget val="inner"/>
          <c:xMode val="edge"/>
          <c:yMode val="edge"/>
          <c:x val="9.1849518810148731E-2"/>
          <c:y val="0.17400904494618483"/>
          <c:w val="0.87759492563429575"/>
          <c:h val="0.54817311098195309"/>
        </c:manualLayout>
      </c:layout>
      <c:barChart>
        <c:barDir val="col"/>
        <c:grouping val="clustered"/>
        <c:varyColors val="0"/>
        <c:ser>
          <c:idx val="1"/>
          <c:order val="0"/>
          <c:tx>
            <c:strRef>
              <c:f>'2'!$D$35</c:f>
              <c:strCache>
                <c:ptCount val="1"/>
                <c:pt idx="0">
                  <c:v>% Frequency</c:v>
                </c:pt>
              </c:strCache>
            </c:strRef>
          </c:tx>
          <c:invertIfNegative val="0"/>
          <c:cat>
            <c:strRef>
              <c:f>'2'!$B$36:$B$42</c:f>
              <c:strCache>
                <c:ptCount val="7"/>
                <c:pt idx="0">
                  <c:v>&lt;1</c:v>
                </c:pt>
                <c:pt idx="1">
                  <c:v>1-30.</c:v>
                </c:pt>
                <c:pt idx="2">
                  <c:v>31-60</c:v>
                </c:pt>
                <c:pt idx="3">
                  <c:v>61-90</c:v>
                </c:pt>
                <c:pt idx="4">
                  <c:v>91-120</c:v>
                </c:pt>
                <c:pt idx="5">
                  <c:v>121-150</c:v>
                </c:pt>
                <c:pt idx="6">
                  <c:v>&gt;150</c:v>
                </c:pt>
              </c:strCache>
            </c:strRef>
          </c:cat>
          <c:val>
            <c:numRef>
              <c:f>'2'!$D$36:$D$42</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axId val="99431168"/>
        <c:axId val="99433088"/>
      </c:barChart>
      <c:catAx>
        <c:axId val="99431168"/>
        <c:scaling>
          <c:orientation val="minMax"/>
        </c:scaling>
        <c:delete val="0"/>
        <c:axPos val="b"/>
        <c:title>
          <c:tx>
            <c:rich>
              <a:bodyPr/>
              <a:lstStyle/>
              <a:p>
                <a:pPr>
                  <a:defRPr/>
                </a:pPr>
                <a:r>
                  <a:rPr lang="en-US"/>
                  <a:t>Distance(mins)</a:t>
                </a:r>
              </a:p>
            </c:rich>
          </c:tx>
          <c:layout>
            <c:manualLayout>
              <c:xMode val="edge"/>
              <c:yMode val="edge"/>
              <c:x val="0.39466076115485565"/>
              <c:y val="0.88584728597923135"/>
            </c:manualLayout>
          </c:layout>
          <c:overlay val="0"/>
        </c:title>
        <c:majorTickMark val="out"/>
        <c:minorTickMark val="none"/>
        <c:tickLblPos val="nextTo"/>
        <c:crossAx val="99433088"/>
        <c:crosses val="autoZero"/>
        <c:auto val="1"/>
        <c:lblAlgn val="ctr"/>
        <c:lblOffset val="100"/>
        <c:noMultiLvlLbl val="0"/>
      </c:catAx>
      <c:valAx>
        <c:axId val="99433088"/>
        <c:scaling>
          <c:orientation val="minMax"/>
        </c:scaling>
        <c:delete val="0"/>
        <c:axPos val="l"/>
        <c:majorGridlines/>
        <c:numFmt formatCode="0%" sourceLinked="1"/>
        <c:majorTickMark val="out"/>
        <c:minorTickMark val="none"/>
        <c:tickLblPos val="nextTo"/>
        <c:crossAx val="99431168"/>
        <c:crosses val="autoZero"/>
        <c:crossBetween val="between"/>
      </c:valAx>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barChart>
        <c:barDir val="col"/>
        <c:grouping val="clustered"/>
        <c:varyColors val="0"/>
        <c:ser>
          <c:idx val="0"/>
          <c:order val="0"/>
          <c:tx>
            <c:strRef>
              <c:f>'6'!$C$14</c:f>
              <c:strCache>
                <c:ptCount val="1"/>
                <c:pt idx="0">
                  <c:v>Other Shelter</c:v>
                </c:pt>
              </c:strCache>
            </c:strRef>
          </c:tx>
          <c:invertIfNegative val="0"/>
          <c:cat>
            <c:strRef>
              <c:f>'6'!$B$16:$B$20</c:f>
              <c:strCache>
                <c:ptCount val="5"/>
                <c:pt idx="0">
                  <c:v>Wood</c:v>
                </c:pt>
                <c:pt idx="1">
                  <c:v>Metal</c:v>
                </c:pt>
                <c:pt idx="2">
                  <c:v>Cement</c:v>
                </c:pt>
                <c:pt idx="3">
                  <c:v>Bricks</c:v>
                </c:pt>
                <c:pt idx="4">
                  <c:v>Other</c:v>
                </c:pt>
              </c:strCache>
            </c:strRef>
          </c:cat>
          <c:val>
            <c:numRef>
              <c:f>'6'!$D$16:$D$20</c:f>
              <c:numCache>
                <c:formatCode>0%</c:formatCode>
                <c:ptCount val="5"/>
                <c:pt idx="0">
                  <c:v>0</c:v>
                </c:pt>
                <c:pt idx="1">
                  <c:v>0</c:v>
                </c:pt>
                <c:pt idx="2">
                  <c:v>0</c:v>
                </c:pt>
                <c:pt idx="3">
                  <c:v>0</c:v>
                </c:pt>
                <c:pt idx="4">
                  <c:v>0</c:v>
                </c:pt>
              </c:numCache>
            </c:numRef>
          </c:val>
        </c:ser>
        <c:ser>
          <c:idx val="2"/>
          <c:order val="1"/>
          <c:tx>
            <c:strRef>
              <c:f>'6'!$E$14</c:f>
              <c:strCache>
                <c:ptCount val="1"/>
                <c:pt idx="0">
                  <c:v>Buul</c:v>
                </c:pt>
              </c:strCache>
            </c:strRef>
          </c:tx>
          <c:invertIfNegative val="0"/>
          <c:cat>
            <c:strRef>
              <c:f>'6'!$B$16:$B$20</c:f>
              <c:strCache>
                <c:ptCount val="5"/>
                <c:pt idx="0">
                  <c:v>Wood</c:v>
                </c:pt>
                <c:pt idx="1">
                  <c:v>Metal</c:v>
                </c:pt>
                <c:pt idx="2">
                  <c:v>Cement</c:v>
                </c:pt>
                <c:pt idx="3">
                  <c:v>Bricks</c:v>
                </c:pt>
                <c:pt idx="4">
                  <c:v>Other</c:v>
                </c:pt>
              </c:strCache>
            </c:strRef>
          </c:cat>
          <c:val>
            <c:numRef>
              <c:f>'6'!$F$16:$F$20</c:f>
              <c:numCache>
                <c:formatCode>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995456"/>
        <c:axId val="105009536"/>
      </c:barChart>
      <c:catAx>
        <c:axId val="104995456"/>
        <c:scaling>
          <c:orientation val="minMax"/>
        </c:scaling>
        <c:delete val="0"/>
        <c:axPos val="b"/>
        <c:majorTickMark val="out"/>
        <c:minorTickMark val="none"/>
        <c:tickLblPos val="nextTo"/>
        <c:crossAx val="105009536"/>
        <c:crosses val="autoZero"/>
        <c:auto val="1"/>
        <c:lblAlgn val="ctr"/>
        <c:lblOffset val="100"/>
        <c:noMultiLvlLbl val="0"/>
      </c:catAx>
      <c:valAx>
        <c:axId val="105009536"/>
        <c:scaling>
          <c:orientation val="minMax"/>
        </c:scaling>
        <c:delete val="0"/>
        <c:axPos val="l"/>
        <c:majorGridlines/>
        <c:numFmt formatCode="0%" sourceLinked="0"/>
        <c:majorTickMark val="out"/>
        <c:minorTickMark val="none"/>
        <c:tickLblPos val="nextTo"/>
        <c:crossAx val="10499545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pPr>
            <a:r>
              <a:rPr lang="en-US" sz="1300"/>
              <a:t>Market</a:t>
            </a:r>
            <a:r>
              <a:rPr lang="en-US" sz="1300" baseline="0"/>
              <a:t> distance</a:t>
            </a:r>
            <a:endParaRPr lang="en-US" sz="1300"/>
          </a:p>
        </c:rich>
      </c:tx>
      <c:layout/>
      <c:overlay val="0"/>
    </c:title>
    <c:autoTitleDeleted val="0"/>
    <c:plotArea>
      <c:layout>
        <c:manualLayout>
          <c:layoutTarget val="inner"/>
          <c:xMode val="edge"/>
          <c:yMode val="edge"/>
          <c:x val="9.1849518810148731E-2"/>
          <c:y val="0.16653944298629339"/>
          <c:w val="0.87759492563429575"/>
          <c:h val="0.62025845727617379"/>
        </c:manualLayout>
      </c:layout>
      <c:barChart>
        <c:barDir val="col"/>
        <c:grouping val="clustered"/>
        <c:varyColors val="0"/>
        <c:ser>
          <c:idx val="1"/>
          <c:order val="0"/>
          <c:tx>
            <c:strRef>
              <c:f>'7'!$D$10</c:f>
              <c:strCache>
                <c:ptCount val="1"/>
                <c:pt idx="0">
                  <c:v>% Frequency</c:v>
                </c:pt>
              </c:strCache>
            </c:strRef>
          </c:tx>
          <c:invertIfNegative val="0"/>
          <c:cat>
            <c:strRef>
              <c:f>'7'!$B$11:$B$17</c:f>
              <c:strCache>
                <c:ptCount val="7"/>
                <c:pt idx="0">
                  <c:v>&lt;5 </c:v>
                </c:pt>
                <c:pt idx="1">
                  <c:v> 5-10 </c:v>
                </c:pt>
                <c:pt idx="2">
                  <c:v> 11-15 </c:v>
                </c:pt>
                <c:pt idx="3">
                  <c:v> 16-20 </c:v>
                </c:pt>
                <c:pt idx="4">
                  <c:v> 21-25 </c:v>
                </c:pt>
                <c:pt idx="5">
                  <c:v> 26-30 </c:v>
                </c:pt>
                <c:pt idx="6">
                  <c:v>&gt;30 </c:v>
                </c:pt>
              </c:strCache>
            </c:strRef>
          </c:cat>
          <c:val>
            <c:numRef>
              <c:f>'7'!$D$11:$D$17</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axId val="100602240"/>
        <c:axId val="100604160"/>
      </c:barChart>
      <c:catAx>
        <c:axId val="100602240"/>
        <c:scaling>
          <c:orientation val="minMax"/>
        </c:scaling>
        <c:delete val="0"/>
        <c:axPos val="b"/>
        <c:title>
          <c:tx>
            <c:rich>
              <a:bodyPr/>
              <a:lstStyle/>
              <a:p>
                <a:pPr>
                  <a:defRPr/>
                </a:pPr>
                <a:r>
                  <a:rPr lang="en-US"/>
                  <a:t>Time(mins)</a:t>
                </a:r>
              </a:p>
            </c:rich>
          </c:tx>
          <c:layout>
            <c:manualLayout>
              <c:xMode val="edge"/>
              <c:yMode val="edge"/>
              <c:x val="0.40738298337707785"/>
              <c:y val="0.90740740740740744"/>
            </c:manualLayout>
          </c:layout>
          <c:overlay val="0"/>
        </c:title>
        <c:majorTickMark val="out"/>
        <c:minorTickMark val="none"/>
        <c:tickLblPos val="nextTo"/>
        <c:crossAx val="100604160"/>
        <c:crosses val="autoZero"/>
        <c:auto val="1"/>
        <c:lblAlgn val="ctr"/>
        <c:lblOffset val="100"/>
        <c:noMultiLvlLbl val="0"/>
      </c:catAx>
      <c:valAx>
        <c:axId val="100604160"/>
        <c:scaling>
          <c:orientation val="minMax"/>
        </c:scaling>
        <c:delete val="0"/>
        <c:axPos val="l"/>
        <c:majorGridlines/>
        <c:numFmt formatCode="0%" sourceLinked="1"/>
        <c:majorTickMark val="out"/>
        <c:minorTickMark val="none"/>
        <c:tickLblPos val="nextTo"/>
        <c:crossAx val="100602240"/>
        <c:crosses val="autoZero"/>
        <c:crossBetween val="between"/>
      </c:valAx>
    </c:plotArea>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849518810148731E-2"/>
          <c:y val="0.19480351414406533"/>
          <c:w val="0.87759492563429575"/>
          <c:h val="0.48099265607294206"/>
        </c:manualLayout>
      </c:layout>
      <c:barChart>
        <c:barDir val="col"/>
        <c:grouping val="clustered"/>
        <c:varyColors val="0"/>
        <c:ser>
          <c:idx val="1"/>
          <c:order val="0"/>
          <c:tx>
            <c:strRef>
              <c:f>'7'!$D$31</c:f>
              <c:strCache>
                <c:ptCount val="1"/>
                <c:pt idx="0">
                  <c:v>% Frequency</c:v>
                </c:pt>
              </c:strCache>
            </c:strRef>
          </c:tx>
          <c:invertIfNegative val="0"/>
          <c:cat>
            <c:strRef>
              <c:f>'7'!$B$32:$B$37</c:f>
              <c:strCache>
                <c:ptCount val="6"/>
                <c:pt idx="0">
                  <c:v>Grains</c:v>
                </c:pt>
                <c:pt idx="1">
                  <c:v>Vegetable</c:v>
                </c:pt>
                <c:pt idx="2">
                  <c:v>Construction material</c:v>
                </c:pt>
                <c:pt idx="3">
                  <c:v>Pulses beans</c:v>
                </c:pt>
                <c:pt idx="4">
                  <c:v>Meat fish</c:v>
                </c:pt>
                <c:pt idx="5">
                  <c:v>Other</c:v>
                </c:pt>
              </c:strCache>
            </c:strRef>
          </c:cat>
          <c:val>
            <c:numRef>
              <c:f>'7'!$D$32:$D$37</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00632448"/>
        <c:axId val="100633984"/>
      </c:barChart>
      <c:catAx>
        <c:axId val="100632448"/>
        <c:scaling>
          <c:orientation val="minMax"/>
        </c:scaling>
        <c:delete val="0"/>
        <c:axPos val="b"/>
        <c:majorTickMark val="out"/>
        <c:minorTickMark val="none"/>
        <c:tickLblPos val="nextTo"/>
        <c:crossAx val="100633984"/>
        <c:crosses val="autoZero"/>
        <c:auto val="1"/>
        <c:lblAlgn val="ctr"/>
        <c:lblOffset val="100"/>
        <c:noMultiLvlLbl val="0"/>
      </c:catAx>
      <c:valAx>
        <c:axId val="100633984"/>
        <c:scaling>
          <c:orientation val="minMax"/>
        </c:scaling>
        <c:delete val="0"/>
        <c:axPos val="l"/>
        <c:majorGridlines/>
        <c:numFmt formatCode="0%" sourceLinked="1"/>
        <c:majorTickMark val="out"/>
        <c:minorTickMark val="none"/>
        <c:tickLblPos val="nextTo"/>
        <c:crossAx val="100632448"/>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pPr>
            <a:r>
              <a:rPr lang="en-US" sz="1300"/>
              <a:t>Number</a:t>
            </a:r>
            <a:r>
              <a:rPr lang="en-US" sz="1300" baseline="0"/>
              <a:t> </a:t>
            </a:r>
            <a:r>
              <a:rPr lang="en-US" sz="1300"/>
              <a:t>of households using latrine</a:t>
            </a:r>
          </a:p>
        </c:rich>
      </c:tx>
      <c:layout>
        <c:manualLayout>
          <c:xMode val="edge"/>
          <c:yMode val="edge"/>
          <c:x val="0.16364990689013034"/>
          <c:y val="4.3715846994535519E-2"/>
        </c:manualLayout>
      </c:layout>
      <c:overlay val="0"/>
    </c:title>
    <c:autoTitleDeleted val="0"/>
    <c:plotArea>
      <c:layout>
        <c:manualLayout>
          <c:layoutTarget val="inner"/>
          <c:xMode val="edge"/>
          <c:yMode val="edge"/>
          <c:x val="0.12315019281807651"/>
          <c:y val="0.23627270729089897"/>
          <c:w val="0.83588146453760315"/>
          <c:h val="0.50066224480560617"/>
        </c:manualLayout>
      </c:layout>
      <c:barChart>
        <c:barDir val="col"/>
        <c:grouping val="clustered"/>
        <c:varyColors val="0"/>
        <c:ser>
          <c:idx val="1"/>
          <c:order val="0"/>
          <c:tx>
            <c:strRef>
              <c:f>'7'!$D$68</c:f>
              <c:strCache>
                <c:ptCount val="1"/>
                <c:pt idx="0">
                  <c:v>% Frequency</c:v>
                </c:pt>
              </c:strCache>
            </c:strRef>
          </c:tx>
          <c:invertIfNegative val="0"/>
          <c:cat>
            <c:strRef>
              <c:f>'7'!$B$70:$B$72</c:f>
              <c:strCache>
                <c:ptCount val="3"/>
                <c:pt idx="0">
                  <c:v> 10-19</c:v>
                </c:pt>
                <c:pt idx="1">
                  <c:v> 20-29</c:v>
                </c:pt>
                <c:pt idx="2">
                  <c:v>&gt;29</c:v>
                </c:pt>
              </c:strCache>
            </c:strRef>
          </c:cat>
          <c:val>
            <c:numRef>
              <c:f>'7'!$D$70:$D$72</c:f>
              <c:numCache>
                <c:formatCode>0%</c:formatCode>
                <c:ptCount val="3"/>
                <c:pt idx="0">
                  <c:v>0</c:v>
                </c:pt>
                <c:pt idx="1">
                  <c:v>0</c:v>
                </c:pt>
                <c:pt idx="2">
                  <c:v>0</c:v>
                </c:pt>
              </c:numCache>
            </c:numRef>
          </c:val>
        </c:ser>
        <c:dLbls>
          <c:showLegendKey val="0"/>
          <c:showVal val="0"/>
          <c:showCatName val="0"/>
          <c:showSerName val="0"/>
          <c:showPercent val="0"/>
          <c:showBubbleSize val="0"/>
        </c:dLbls>
        <c:gapWidth val="150"/>
        <c:axId val="100649600"/>
        <c:axId val="100672256"/>
      </c:barChart>
      <c:catAx>
        <c:axId val="100649600"/>
        <c:scaling>
          <c:orientation val="minMax"/>
        </c:scaling>
        <c:delete val="0"/>
        <c:axPos val="b"/>
        <c:title>
          <c:tx>
            <c:rich>
              <a:bodyPr/>
              <a:lstStyle/>
              <a:p>
                <a:pPr>
                  <a:defRPr/>
                </a:pPr>
                <a:r>
                  <a:rPr lang="en-US"/>
                  <a:t>Number</a:t>
                </a:r>
                <a:r>
                  <a:rPr lang="en-US" baseline="0"/>
                  <a:t> of people</a:t>
                </a:r>
              </a:p>
            </c:rich>
          </c:tx>
          <c:layout>
            <c:manualLayout>
              <c:xMode val="edge"/>
              <c:yMode val="edge"/>
              <c:x val="0.37772020117597033"/>
              <c:y val="0.88834154351395733"/>
            </c:manualLayout>
          </c:layout>
          <c:overlay val="0"/>
        </c:title>
        <c:majorTickMark val="out"/>
        <c:minorTickMark val="none"/>
        <c:tickLblPos val="nextTo"/>
        <c:crossAx val="100672256"/>
        <c:crosses val="autoZero"/>
        <c:auto val="1"/>
        <c:lblAlgn val="ctr"/>
        <c:lblOffset val="100"/>
        <c:noMultiLvlLbl val="0"/>
      </c:catAx>
      <c:valAx>
        <c:axId val="100672256"/>
        <c:scaling>
          <c:orientation val="minMax"/>
        </c:scaling>
        <c:delete val="0"/>
        <c:axPos val="l"/>
        <c:majorGridlines/>
        <c:numFmt formatCode="0%" sourceLinked="1"/>
        <c:majorTickMark val="out"/>
        <c:minorTickMark val="none"/>
        <c:tickLblPos val="nextTo"/>
        <c:crossAx val="100649600"/>
        <c:crosses val="autoZero"/>
        <c:crossBetween val="between"/>
      </c:valAx>
    </c:plotArea>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pPr>
            <a:r>
              <a:rPr lang="en-US" sz="1300"/>
              <a:t>Water</a:t>
            </a:r>
            <a:r>
              <a:rPr lang="en-US" sz="1300" baseline="0"/>
              <a:t> source 1 distance</a:t>
            </a:r>
            <a:endParaRPr lang="en-US" sz="1300"/>
          </a:p>
        </c:rich>
      </c:tx>
      <c:layout>
        <c:manualLayout>
          <c:xMode val="edge"/>
          <c:yMode val="edge"/>
          <c:x val="0.30407263294422826"/>
          <c:y val="3.6036036036036036E-2"/>
        </c:manualLayout>
      </c:layout>
      <c:overlay val="0"/>
    </c:title>
    <c:autoTitleDeleted val="0"/>
    <c:plotArea>
      <c:layout>
        <c:manualLayout>
          <c:layoutTarget val="inner"/>
          <c:xMode val="edge"/>
          <c:yMode val="edge"/>
          <c:x val="8.5773869705975475E-2"/>
          <c:y val="0.19803315126149776"/>
          <c:w val="0.88569175934720223"/>
          <c:h val="0.5433983589889102"/>
        </c:manualLayout>
      </c:layout>
      <c:barChart>
        <c:barDir val="col"/>
        <c:grouping val="clustered"/>
        <c:varyColors val="0"/>
        <c:ser>
          <c:idx val="1"/>
          <c:order val="0"/>
          <c:tx>
            <c:strRef>
              <c:f>'7'!$D$94</c:f>
              <c:strCache>
                <c:ptCount val="1"/>
                <c:pt idx="0">
                  <c:v>% Frequency</c:v>
                </c:pt>
              </c:strCache>
            </c:strRef>
          </c:tx>
          <c:invertIfNegative val="0"/>
          <c:cat>
            <c:strRef>
              <c:f>'7'!$B$95:$B$101</c:f>
              <c:strCache>
                <c:ptCount val="7"/>
                <c:pt idx="0">
                  <c:v>&lt;10 </c:v>
                </c:pt>
                <c:pt idx="1">
                  <c:v> 11-20 </c:v>
                </c:pt>
                <c:pt idx="2">
                  <c:v> 21-30 </c:v>
                </c:pt>
                <c:pt idx="3">
                  <c:v> 31 -40  </c:v>
                </c:pt>
                <c:pt idx="4">
                  <c:v>41 -50 </c:v>
                </c:pt>
                <c:pt idx="5">
                  <c:v>51 -60 </c:v>
                </c:pt>
                <c:pt idx="6">
                  <c:v>&gt;60 </c:v>
                </c:pt>
              </c:strCache>
            </c:strRef>
          </c:cat>
          <c:val>
            <c:numRef>
              <c:f>'7'!$D$95:$D$101</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axId val="100692352"/>
        <c:axId val="100694272"/>
      </c:barChart>
      <c:catAx>
        <c:axId val="100692352"/>
        <c:scaling>
          <c:orientation val="minMax"/>
        </c:scaling>
        <c:delete val="0"/>
        <c:axPos val="b"/>
        <c:title>
          <c:tx>
            <c:rich>
              <a:bodyPr/>
              <a:lstStyle/>
              <a:p>
                <a:pPr>
                  <a:defRPr/>
                </a:pPr>
                <a:r>
                  <a:rPr lang="en-US"/>
                  <a:t>Distance(Minutes)</a:t>
                </a:r>
              </a:p>
            </c:rich>
          </c:tx>
          <c:layout>
            <c:manualLayout>
              <c:xMode val="edge"/>
              <c:yMode val="edge"/>
              <c:x val="0.38371702564416804"/>
              <c:y val="0.8858858858858859"/>
            </c:manualLayout>
          </c:layout>
          <c:overlay val="0"/>
        </c:title>
        <c:majorTickMark val="out"/>
        <c:minorTickMark val="none"/>
        <c:tickLblPos val="nextTo"/>
        <c:crossAx val="100694272"/>
        <c:crosses val="autoZero"/>
        <c:auto val="1"/>
        <c:lblAlgn val="ctr"/>
        <c:lblOffset val="100"/>
        <c:noMultiLvlLbl val="0"/>
      </c:catAx>
      <c:valAx>
        <c:axId val="100694272"/>
        <c:scaling>
          <c:orientation val="minMax"/>
        </c:scaling>
        <c:delete val="0"/>
        <c:axPos val="l"/>
        <c:majorGridlines/>
        <c:numFmt formatCode="0%" sourceLinked="1"/>
        <c:majorTickMark val="out"/>
        <c:minorTickMark val="none"/>
        <c:tickLblPos val="nextTo"/>
        <c:crossAx val="100692352"/>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sz="1300"/>
            </a:pPr>
            <a:r>
              <a:rPr lang="en-US" sz="1300"/>
              <a:t>Water Source use</a:t>
            </a:r>
          </a:p>
        </c:rich>
      </c:tx>
      <c:layout>
        <c:manualLayout>
          <c:xMode val="edge"/>
          <c:yMode val="edge"/>
          <c:x val="0.26130624504118993"/>
          <c:y val="4.1025641025641026E-2"/>
        </c:manualLayout>
      </c:layout>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5.1443555378219943E-2"/>
          <c:y val="0.25631549902416045"/>
          <c:w val="0.6711081349435426"/>
          <c:h val="0.6543455372564041"/>
        </c:manualLayout>
      </c:layout>
      <c:pie3DChart>
        <c:varyColors val="1"/>
        <c:ser>
          <c:idx val="0"/>
          <c:order val="0"/>
          <c:tx>
            <c:strRef>
              <c:f>'7'!$D$106</c:f>
              <c:strCache>
                <c:ptCount val="1"/>
                <c:pt idx="0">
                  <c:v>% Frequency</c:v>
                </c:pt>
              </c:strCache>
            </c:strRef>
          </c:tx>
          <c:explosion val="13"/>
          <c:dLbls>
            <c:showLegendKey val="0"/>
            <c:showVal val="1"/>
            <c:showCatName val="0"/>
            <c:showSerName val="0"/>
            <c:showPercent val="0"/>
            <c:showBubbleSize val="0"/>
            <c:showLeaderLines val="1"/>
          </c:dLbls>
          <c:cat>
            <c:strRef>
              <c:f>'7'!$B$107:$B$109</c:f>
              <c:strCache>
                <c:ptCount val="3"/>
                <c:pt idx="0">
                  <c:v>Drinking</c:v>
                </c:pt>
                <c:pt idx="1">
                  <c:v>Washing</c:v>
                </c:pt>
                <c:pt idx="2">
                  <c:v>Other</c:v>
                </c:pt>
              </c:strCache>
            </c:strRef>
          </c:cat>
          <c:val>
            <c:numRef>
              <c:f>'7'!$D$107:$D$109</c:f>
              <c:numCache>
                <c:formatCode>0%</c:formatCode>
                <c:ptCount val="3"/>
                <c:pt idx="0">
                  <c:v>0</c:v>
                </c:pt>
                <c:pt idx="1">
                  <c:v>0</c:v>
                </c:pt>
                <c:pt idx="2">
                  <c:v>0</c:v>
                </c:pt>
              </c:numCache>
            </c:numRef>
          </c:val>
        </c:ser>
        <c:dLbls>
          <c:showLegendKey val="0"/>
          <c:showVal val="0"/>
          <c:showCatName val="0"/>
          <c:showSerName val="0"/>
          <c:showPercent val="0"/>
          <c:showBubbleSize val="0"/>
          <c:showLeaderLines val="1"/>
        </c:dLbls>
      </c:pie3D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pPr>
            <a:r>
              <a:rPr lang="en-US" sz="1300"/>
              <a:t>Time</a:t>
            </a:r>
            <a:r>
              <a:rPr lang="en-US" sz="1300" baseline="0"/>
              <a:t> waiting at water point</a:t>
            </a:r>
            <a:endParaRPr lang="en-US" sz="1300"/>
          </a:p>
        </c:rich>
      </c:tx>
      <c:layout/>
      <c:overlay val="0"/>
    </c:title>
    <c:autoTitleDeleted val="0"/>
    <c:plotArea>
      <c:layout>
        <c:manualLayout>
          <c:layoutTarget val="inner"/>
          <c:xMode val="edge"/>
          <c:yMode val="edge"/>
          <c:x val="0.13559405074365705"/>
          <c:y val="0.25648855390402403"/>
          <c:w val="0.82529483814523186"/>
          <c:h val="0.48499670161550662"/>
        </c:manualLayout>
      </c:layout>
      <c:barChart>
        <c:barDir val="col"/>
        <c:grouping val="clustered"/>
        <c:varyColors val="0"/>
        <c:ser>
          <c:idx val="1"/>
          <c:order val="0"/>
          <c:tx>
            <c:strRef>
              <c:f>'7'!$D$114</c:f>
              <c:strCache>
                <c:ptCount val="1"/>
                <c:pt idx="0">
                  <c:v>% Frequency</c:v>
                </c:pt>
              </c:strCache>
            </c:strRef>
          </c:tx>
          <c:invertIfNegative val="0"/>
          <c:cat>
            <c:strRef>
              <c:f>'7'!$B$115:$B$118</c:f>
              <c:strCache>
                <c:ptCount val="4"/>
                <c:pt idx="0">
                  <c:v>&lt;10 </c:v>
                </c:pt>
                <c:pt idx="1">
                  <c:v> 10-19</c:v>
                </c:pt>
                <c:pt idx="2">
                  <c:v> 20-29</c:v>
                </c:pt>
                <c:pt idx="3">
                  <c:v>&gt;29</c:v>
                </c:pt>
              </c:strCache>
            </c:strRef>
          </c:cat>
          <c:val>
            <c:numRef>
              <c:f>'7'!$D$115:$D$118</c:f>
              <c:numCache>
                <c:formatCode>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11428352"/>
        <c:axId val="111430272"/>
      </c:barChart>
      <c:catAx>
        <c:axId val="111428352"/>
        <c:scaling>
          <c:orientation val="minMax"/>
        </c:scaling>
        <c:delete val="0"/>
        <c:axPos val="b"/>
        <c:title>
          <c:tx>
            <c:rich>
              <a:bodyPr/>
              <a:lstStyle/>
              <a:p>
                <a:pPr>
                  <a:defRPr/>
                </a:pPr>
                <a:r>
                  <a:rPr lang="en-US"/>
                  <a:t>Time</a:t>
                </a:r>
                <a:r>
                  <a:rPr lang="en-US" baseline="0"/>
                  <a:t> (minutes)</a:t>
                </a:r>
                <a:endParaRPr lang="en-US"/>
              </a:p>
            </c:rich>
          </c:tx>
          <c:layout>
            <c:manualLayout>
              <c:xMode val="edge"/>
              <c:yMode val="edge"/>
              <c:x val="0.36515415573053367"/>
              <c:y val="0.87127731795256835"/>
            </c:manualLayout>
          </c:layout>
          <c:overlay val="0"/>
        </c:title>
        <c:majorTickMark val="out"/>
        <c:minorTickMark val="none"/>
        <c:tickLblPos val="nextTo"/>
        <c:crossAx val="111430272"/>
        <c:crosses val="autoZero"/>
        <c:auto val="1"/>
        <c:lblAlgn val="ctr"/>
        <c:lblOffset val="100"/>
        <c:noMultiLvlLbl val="0"/>
      </c:catAx>
      <c:valAx>
        <c:axId val="111430272"/>
        <c:scaling>
          <c:orientation val="minMax"/>
        </c:scaling>
        <c:delete val="0"/>
        <c:axPos val="l"/>
        <c:majorGridlines/>
        <c:numFmt formatCode="0%" sourceLinked="1"/>
        <c:majorTickMark val="out"/>
        <c:minorTickMark val="none"/>
        <c:tickLblPos val="nextTo"/>
        <c:crossAx val="111428352"/>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pPr>
            <a:r>
              <a:rPr lang="en-US" sz="1300"/>
              <a:t>Water collection daily times  </a:t>
            </a:r>
          </a:p>
        </c:rich>
      </c:tx>
      <c:layout/>
      <c:overlay val="0"/>
    </c:title>
    <c:autoTitleDeleted val="0"/>
    <c:plotArea>
      <c:layout/>
      <c:barChart>
        <c:barDir val="col"/>
        <c:grouping val="clustered"/>
        <c:varyColors val="0"/>
        <c:ser>
          <c:idx val="1"/>
          <c:order val="0"/>
          <c:tx>
            <c:strRef>
              <c:f>'7'!$D$129</c:f>
              <c:strCache>
                <c:ptCount val="1"/>
                <c:pt idx="0">
                  <c:v>% Frequency</c:v>
                </c:pt>
              </c:strCache>
            </c:strRef>
          </c:tx>
          <c:invertIfNegative val="0"/>
          <c:cat>
            <c:strRef>
              <c:f>'7'!$B$130:$B$133</c:f>
              <c:strCache>
                <c:ptCount val="4"/>
                <c:pt idx="0">
                  <c:v>One day</c:v>
                </c:pt>
                <c:pt idx="1">
                  <c:v>Two days</c:v>
                </c:pt>
                <c:pt idx="2">
                  <c:v>Three days</c:v>
                </c:pt>
                <c:pt idx="3">
                  <c:v>More than three days</c:v>
                </c:pt>
              </c:strCache>
            </c:strRef>
          </c:cat>
          <c:val>
            <c:numRef>
              <c:f>'7'!$D$130:$D$133</c:f>
              <c:numCache>
                <c:formatCode>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11446272"/>
        <c:axId val="111456256"/>
      </c:barChart>
      <c:catAx>
        <c:axId val="111446272"/>
        <c:scaling>
          <c:orientation val="minMax"/>
        </c:scaling>
        <c:delete val="0"/>
        <c:axPos val="b"/>
        <c:majorTickMark val="out"/>
        <c:minorTickMark val="none"/>
        <c:tickLblPos val="nextTo"/>
        <c:crossAx val="111456256"/>
        <c:crosses val="autoZero"/>
        <c:auto val="1"/>
        <c:lblAlgn val="ctr"/>
        <c:lblOffset val="100"/>
        <c:noMultiLvlLbl val="0"/>
      </c:catAx>
      <c:valAx>
        <c:axId val="111456256"/>
        <c:scaling>
          <c:orientation val="minMax"/>
        </c:scaling>
        <c:delete val="0"/>
        <c:axPos val="l"/>
        <c:majorGridlines/>
        <c:numFmt formatCode="0%" sourceLinked="1"/>
        <c:majorTickMark val="out"/>
        <c:minorTickMark val="none"/>
        <c:tickLblPos val="nextTo"/>
        <c:crossAx val="111446272"/>
        <c:crosses val="autoZero"/>
        <c:crossBetween val="between"/>
      </c:valAx>
    </c:plotArea>
    <c:plotVisOnly val="1"/>
    <c:dispBlanksAs val="gap"/>
    <c:showDLblsOverMax val="0"/>
  </c:chart>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sz="1300"/>
            </a:pPr>
            <a:r>
              <a:rPr lang="en-US" sz="1300"/>
              <a:t>Main water  source reliable</a:t>
            </a:r>
          </a:p>
        </c:rich>
      </c:tx>
      <c:layout>
        <c:manualLayout>
          <c:xMode val="edge"/>
          <c:yMode val="edge"/>
          <c:x val="0.18948088075816871"/>
          <c:y val="5.8823529411764705E-2"/>
        </c:manualLayout>
      </c:layout>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0"/>
          <c:y val="0.26446117029488964"/>
          <c:w val="0.95608782435129736"/>
          <c:h val="0.63749961401883581"/>
        </c:manualLayout>
      </c:layout>
      <c:pie3DChart>
        <c:varyColors val="1"/>
        <c:ser>
          <c:idx val="0"/>
          <c:order val="0"/>
          <c:tx>
            <c:strRef>
              <c:f>'7'!$D$123</c:f>
              <c:strCache>
                <c:ptCount val="1"/>
                <c:pt idx="0">
                  <c:v>% Frequency</c:v>
                </c:pt>
              </c:strCache>
            </c:strRef>
          </c:tx>
          <c:explosion val="13"/>
          <c:dLbls>
            <c:showLegendKey val="0"/>
            <c:showVal val="1"/>
            <c:showCatName val="0"/>
            <c:showSerName val="0"/>
            <c:showPercent val="0"/>
            <c:showBubbleSize val="0"/>
            <c:showLeaderLines val="1"/>
          </c:dLbls>
          <c:cat>
            <c:strRef>
              <c:f>'7'!$B$124:$B$125</c:f>
              <c:strCache>
                <c:ptCount val="2"/>
                <c:pt idx="0">
                  <c:v>Yes</c:v>
                </c:pt>
                <c:pt idx="1">
                  <c:v>No</c:v>
                </c:pt>
              </c:strCache>
            </c:strRef>
          </c:cat>
          <c:val>
            <c:numRef>
              <c:f>'7'!$D$124:$D$125</c:f>
              <c:numCache>
                <c:formatCode>0%</c:formatCode>
                <c:ptCount val="2"/>
                <c:pt idx="0">
                  <c:v>0</c:v>
                </c:pt>
                <c:pt idx="1">
                  <c:v>0</c:v>
                </c:pt>
              </c:numCache>
            </c:numRef>
          </c:val>
        </c:ser>
        <c:dLbls>
          <c:showLegendKey val="0"/>
          <c:showVal val="0"/>
          <c:showCatName val="0"/>
          <c:showSerName val="0"/>
          <c:showPercent val="0"/>
          <c:showBubbleSize val="0"/>
          <c:showLeaderLines val="1"/>
        </c:dLbls>
      </c:pie3DChart>
    </c:plotArea>
    <c:legend>
      <c:legendPos val="r"/>
      <c:layout/>
      <c:overlay val="0"/>
    </c:legend>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pPr>
            <a:r>
              <a:rPr lang="en-US" sz="1300"/>
              <a:t>Water</a:t>
            </a:r>
            <a:r>
              <a:rPr lang="en-US" sz="1300" baseline="0"/>
              <a:t> cost</a:t>
            </a:r>
            <a:endParaRPr lang="en-US" sz="1300"/>
          </a:p>
        </c:rich>
      </c:tx>
      <c:layout/>
      <c:overlay val="0"/>
    </c:title>
    <c:autoTitleDeleted val="0"/>
    <c:plotArea>
      <c:layout/>
      <c:barChart>
        <c:barDir val="col"/>
        <c:grouping val="clustered"/>
        <c:varyColors val="0"/>
        <c:ser>
          <c:idx val="1"/>
          <c:order val="0"/>
          <c:tx>
            <c:strRef>
              <c:f>'7'!$D$143</c:f>
              <c:strCache>
                <c:ptCount val="1"/>
                <c:pt idx="0">
                  <c:v>% Frequency</c:v>
                </c:pt>
              </c:strCache>
            </c:strRef>
          </c:tx>
          <c:invertIfNegative val="0"/>
          <c:cat>
            <c:strRef>
              <c:f>'7'!$B$144:$B$147</c:f>
              <c:strCache>
                <c:ptCount val="4"/>
                <c:pt idx="0">
                  <c:v>&lt;1001</c:v>
                </c:pt>
                <c:pt idx="1">
                  <c:v>1001-2000 </c:v>
                </c:pt>
                <c:pt idx="2">
                  <c:v>2001 -3000</c:v>
                </c:pt>
                <c:pt idx="3">
                  <c:v>&gt;3000</c:v>
                </c:pt>
              </c:strCache>
            </c:strRef>
          </c:cat>
          <c:val>
            <c:numRef>
              <c:f>'7'!$D$144:$D$147</c:f>
              <c:numCache>
                <c:formatCode>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11511808"/>
        <c:axId val="111550848"/>
      </c:barChart>
      <c:catAx>
        <c:axId val="111511808"/>
        <c:scaling>
          <c:orientation val="minMax"/>
        </c:scaling>
        <c:delete val="0"/>
        <c:axPos val="b"/>
        <c:title>
          <c:tx>
            <c:rich>
              <a:bodyPr/>
              <a:lstStyle/>
              <a:p>
                <a:pPr>
                  <a:defRPr/>
                </a:pPr>
                <a:r>
                  <a:rPr lang="en-US"/>
                  <a:t>Amount(SSH)</a:t>
                </a:r>
              </a:p>
            </c:rich>
          </c:tx>
          <c:layout>
            <c:manualLayout>
              <c:xMode val="edge"/>
              <c:yMode val="edge"/>
              <c:x val="0.39372533889833927"/>
              <c:y val="0.85518076351795835"/>
            </c:manualLayout>
          </c:layout>
          <c:overlay val="0"/>
        </c:title>
        <c:majorTickMark val="out"/>
        <c:minorTickMark val="none"/>
        <c:tickLblPos val="nextTo"/>
        <c:crossAx val="111550848"/>
        <c:crosses val="autoZero"/>
        <c:auto val="1"/>
        <c:lblAlgn val="ctr"/>
        <c:lblOffset val="100"/>
        <c:noMultiLvlLbl val="0"/>
      </c:catAx>
      <c:valAx>
        <c:axId val="111550848"/>
        <c:scaling>
          <c:orientation val="minMax"/>
        </c:scaling>
        <c:delete val="0"/>
        <c:axPos val="l"/>
        <c:majorGridlines/>
        <c:numFmt formatCode="0%" sourceLinked="1"/>
        <c:majorTickMark val="out"/>
        <c:minorTickMark val="none"/>
        <c:tickLblPos val="nextTo"/>
        <c:crossAx val="111511808"/>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pPr>
            <a:r>
              <a:rPr lang="en-US" sz="1300"/>
              <a:t>Household</a:t>
            </a:r>
            <a:r>
              <a:rPr lang="en-US" sz="1300" baseline="0"/>
              <a:t> daily income</a:t>
            </a:r>
            <a:endParaRPr lang="en-US" sz="1300"/>
          </a:p>
        </c:rich>
      </c:tx>
      <c:layout>
        <c:manualLayout>
          <c:xMode val="edge"/>
          <c:yMode val="edge"/>
          <c:x val="0.31736111111111109"/>
          <c:y val="5.8097299710702897E-3"/>
        </c:manualLayout>
      </c:layout>
      <c:overlay val="0"/>
    </c:title>
    <c:autoTitleDeleted val="0"/>
    <c:plotArea>
      <c:layout>
        <c:manualLayout>
          <c:layoutTarget val="inner"/>
          <c:xMode val="edge"/>
          <c:yMode val="edge"/>
          <c:x val="9.1849518810148717E-2"/>
          <c:y val="0.16312303635701569"/>
          <c:w val="0.87759492563429575"/>
          <c:h val="0.61580713160365019"/>
        </c:manualLayout>
      </c:layout>
      <c:barChart>
        <c:barDir val="col"/>
        <c:grouping val="clustered"/>
        <c:varyColors val="0"/>
        <c:ser>
          <c:idx val="1"/>
          <c:order val="0"/>
          <c:tx>
            <c:strRef>
              <c:f>'2'!$D$47</c:f>
              <c:strCache>
                <c:ptCount val="1"/>
                <c:pt idx="0">
                  <c:v>% Frequency</c:v>
                </c:pt>
              </c:strCache>
            </c:strRef>
          </c:tx>
          <c:invertIfNegative val="0"/>
          <c:cat>
            <c:strRef>
              <c:f>'2'!$B$48:$B$54</c:f>
              <c:strCache>
                <c:ptCount val="7"/>
                <c:pt idx="0">
                  <c:v>&lt;1</c:v>
                </c:pt>
                <c:pt idx="1">
                  <c:v> 1-10</c:v>
                </c:pt>
                <c:pt idx="2">
                  <c:v> 11-20</c:v>
                </c:pt>
                <c:pt idx="3">
                  <c:v> 21-30</c:v>
                </c:pt>
                <c:pt idx="4">
                  <c:v> 31-40</c:v>
                </c:pt>
                <c:pt idx="5">
                  <c:v> 41-50</c:v>
                </c:pt>
                <c:pt idx="6">
                  <c:v> &gt;50</c:v>
                </c:pt>
              </c:strCache>
            </c:strRef>
          </c:cat>
          <c:val>
            <c:numRef>
              <c:f>'2'!$D$48:$D$54</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axId val="99449088"/>
        <c:axId val="99459456"/>
      </c:barChart>
      <c:catAx>
        <c:axId val="99449088"/>
        <c:scaling>
          <c:orientation val="minMax"/>
        </c:scaling>
        <c:delete val="0"/>
        <c:axPos val="b"/>
        <c:title>
          <c:tx>
            <c:rich>
              <a:bodyPr/>
              <a:lstStyle/>
              <a:p>
                <a:pPr>
                  <a:defRPr/>
                </a:pPr>
                <a:r>
                  <a:rPr lang="en-US"/>
                  <a:t>Amount</a:t>
                </a:r>
                <a:r>
                  <a:rPr lang="en-US" baseline="0"/>
                  <a:t> (USD)</a:t>
                </a:r>
                <a:endParaRPr lang="en-US"/>
              </a:p>
            </c:rich>
          </c:tx>
          <c:layout/>
          <c:overlay val="0"/>
        </c:title>
        <c:majorTickMark val="out"/>
        <c:minorTickMark val="none"/>
        <c:tickLblPos val="nextTo"/>
        <c:crossAx val="99459456"/>
        <c:crosses val="autoZero"/>
        <c:auto val="1"/>
        <c:lblAlgn val="ctr"/>
        <c:lblOffset val="100"/>
        <c:noMultiLvlLbl val="0"/>
      </c:catAx>
      <c:valAx>
        <c:axId val="99459456"/>
        <c:scaling>
          <c:orientation val="minMax"/>
        </c:scaling>
        <c:delete val="0"/>
        <c:axPos val="l"/>
        <c:majorGridlines/>
        <c:numFmt formatCode="0%" sourceLinked="1"/>
        <c:majorTickMark val="out"/>
        <c:minorTickMark val="none"/>
        <c:tickLblPos val="nextTo"/>
        <c:crossAx val="99449088"/>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pPr>
            <a:r>
              <a:rPr lang="en-US" sz="1300"/>
              <a:t>Shool</a:t>
            </a:r>
            <a:r>
              <a:rPr lang="en-US" sz="1300" baseline="0"/>
              <a:t> fee cost</a:t>
            </a:r>
            <a:endParaRPr lang="en-US" sz="1300"/>
          </a:p>
        </c:rich>
      </c:tx>
      <c:layout>
        <c:manualLayout>
          <c:xMode val="edge"/>
          <c:yMode val="edge"/>
          <c:x val="0.38741666666666669"/>
          <c:y val="6.8107386083074511E-2"/>
        </c:manualLayout>
      </c:layout>
      <c:overlay val="0"/>
    </c:title>
    <c:autoTitleDeleted val="0"/>
    <c:plotArea>
      <c:layout>
        <c:manualLayout>
          <c:layoutTarget val="inner"/>
          <c:xMode val="edge"/>
          <c:yMode val="edge"/>
          <c:x val="9.1849518810148731E-2"/>
          <c:y val="0.19480351414406533"/>
          <c:w val="0.87759492563429575"/>
          <c:h val="0.5595869787109945"/>
        </c:manualLayout>
      </c:layout>
      <c:barChart>
        <c:barDir val="col"/>
        <c:grouping val="clustered"/>
        <c:varyColors val="0"/>
        <c:ser>
          <c:idx val="1"/>
          <c:order val="0"/>
          <c:tx>
            <c:strRef>
              <c:f>'7'!$D$158</c:f>
              <c:strCache>
                <c:ptCount val="1"/>
                <c:pt idx="0">
                  <c:v>% Frequency</c:v>
                </c:pt>
              </c:strCache>
            </c:strRef>
          </c:tx>
          <c:invertIfNegative val="0"/>
          <c:cat>
            <c:strRef>
              <c:f>'7'!$B$159:$B$164</c:f>
              <c:strCache>
                <c:ptCount val="6"/>
                <c:pt idx="0">
                  <c:v> 1-5 </c:v>
                </c:pt>
                <c:pt idx="1">
                  <c:v> 6-10 </c:v>
                </c:pt>
                <c:pt idx="2">
                  <c:v> 11-15 </c:v>
                </c:pt>
                <c:pt idx="3">
                  <c:v> 16 -20 </c:v>
                </c:pt>
                <c:pt idx="4">
                  <c:v> 21 -25 </c:v>
                </c:pt>
                <c:pt idx="5">
                  <c:v>&gt;25 </c:v>
                </c:pt>
              </c:strCache>
            </c:strRef>
          </c:cat>
          <c:val>
            <c:numRef>
              <c:f>'7'!$D$159:$D$164</c:f>
              <c:numCache>
                <c:formatCode>0%</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111558656"/>
        <c:axId val="111560576"/>
      </c:barChart>
      <c:catAx>
        <c:axId val="111558656"/>
        <c:scaling>
          <c:orientation val="minMax"/>
        </c:scaling>
        <c:delete val="0"/>
        <c:axPos val="b"/>
        <c:title>
          <c:tx>
            <c:rich>
              <a:bodyPr/>
              <a:lstStyle/>
              <a:p>
                <a:pPr>
                  <a:defRPr/>
                </a:pPr>
                <a:r>
                  <a:rPr lang="en-US"/>
                  <a:t>School</a:t>
                </a:r>
                <a:r>
                  <a:rPr lang="en-US" baseline="0"/>
                  <a:t> fee amount (USD)</a:t>
                </a:r>
              </a:p>
            </c:rich>
          </c:tx>
          <c:layout>
            <c:manualLayout>
              <c:xMode val="edge"/>
              <c:yMode val="edge"/>
              <c:x val="0.35019553805774278"/>
              <c:y val="0.89087596164040206"/>
            </c:manualLayout>
          </c:layout>
          <c:overlay val="0"/>
        </c:title>
        <c:majorTickMark val="out"/>
        <c:minorTickMark val="none"/>
        <c:tickLblPos val="nextTo"/>
        <c:crossAx val="111560576"/>
        <c:crosses val="autoZero"/>
        <c:auto val="1"/>
        <c:lblAlgn val="ctr"/>
        <c:lblOffset val="100"/>
        <c:noMultiLvlLbl val="0"/>
      </c:catAx>
      <c:valAx>
        <c:axId val="111560576"/>
        <c:scaling>
          <c:orientation val="minMax"/>
        </c:scaling>
        <c:delete val="0"/>
        <c:axPos val="l"/>
        <c:majorGridlines/>
        <c:numFmt formatCode="0%" sourceLinked="1"/>
        <c:majorTickMark val="out"/>
        <c:minorTickMark val="none"/>
        <c:tickLblPos val="nextTo"/>
        <c:crossAx val="111558656"/>
        <c:crosses val="autoZero"/>
        <c:crossBetween val="between"/>
      </c:valAx>
    </c:plotArea>
    <c:plotVisOnly val="1"/>
    <c:dispBlanksAs val="gap"/>
    <c:showDLblsOverMax val="0"/>
  </c:chart>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296777092052688E-2"/>
          <c:y val="0.19126498888754892"/>
          <c:w val="0.86767018987491429"/>
          <c:h val="0.54031332374274244"/>
        </c:manualLayout>
      </c:layout>
      <c:barChart>
        <c:barDir val="col"/>
        <c:grouping val="clustered"/>
        <c:varyColors val="0"/>
        <c:ser>
          <c:idx val="1"/>
          <c:order val="0"/>
          <c:tx>
            <c:strRef>
              <c:f>'10'!$D$21</c:f>
              <c:strCache>
                <c:ptCount val="1"/>
                <c:pt idx="0">
                  <c:v>%Frequency</c:v>
                </c:pt>
              </c:strCache>
            </c:strRef>
          </c:tx>
          <c:invertIfNegative val="0"/>
          <c:cat>
            <c:strRef>
              <c:f>'10'!$B$22:$B$24</c:f>
              <c:strCache>
                <c:ptCount val="3"/>
                <c:pt idx="0">
                  <c:v> 1-2 </c:v>
                </c:pt>
                <c:pt idx="1">
                  <c:v> 3-4</c:v>
                </c:pt>
                <c:pt idx="2">
                  <c:v>&gt;4</c:v>
                </c:pt>
              </c:strCache>
            </c:strRef>
          </c:cat>
          <c:val>
            <c:numRef>
              <c:f>'10'!$D$22:$D$24</c:f>
              <c:numCache>
                <c:formatCode>0%</c:formatCode>
                <c:ptCount val="3"/>
                <c:pt idx="0">
                  <c:v>0</c:v>
                </c:pt>
                <c:pt idx="1">
                  <c:v>0</c:v>
                </c:pt>
                <c:pt idx="2">
                  <c:v>0</c:v>
                </c:pt>
              </c:numCache>
            </c:numRef>
          </c:val>
        </c:ser>
        <c:dLbls>
          <c:showLegendKey val="0"/>
          <c:showVal val="0"/>
          <c:showCatName val="0"/>
          <c:showSerName val="0"/>
          <c:showPercent val="0"/>
          <c:showBubbleSize val="0"/>
        </c:dLbls>
        <c:gapWidth val="150"/>
        <c:axId val="112011136"/>
        <c:axId val="112013312"/>
      </c:barChart>
      <c:catAx>
        <c:axId val="112011136"/>
        <c:scaling>
          <c:orientation val="minMax"/>
        </c:scaling>
        <c:delete val="0"/>
        <c:axPos val="b"/>
        <c:title>
          <c:tx>
            <c:rich>
              <a:bodyPr/>
              <a:lstStyle/>
              <a:p>
                <a:pPr>
                  <a:defRPr/>
                </a:pPr>
                <a:r>
                  <a:rPr lang="en-US"/>
                  <a:t>Number of plastics </a:t>
                </a:r>
                <a:r>
                  <a:rPr lang="en-US" baseline="0"/>
                  <a:t> received</a:t>
                </a:r>
                <a:endParaRPr lang="en-US"/>
              </a:p>
            </c:rich>
          </c:tx>
          <c:layout>
            <c:manualLayout>
              <c:xMode val="edge"/>
              <c:yMode val="edge"/>
              <c:x val="0.35040646946158754"/>
              <c:y val="0.88183975673207782"/>
            </c:manualLayout>
          </c:layout>
          <c:overlay val="0"/>
        </c:title>
        <c:majorTickMark val="out"/>
        <c:minorTickMark val="none"/>
        <c:tickLblPos val="nextTo"/>
        <c:crossAx val="112013312"/>
        <c:crosses val="autoZero"/>
        <c:auto val="1"/>
        <c:lblAlgn val="ctr"/>
        <c:lblOffset val="100"/>
        <c:noMultiLvlLbl val="0"/>
      </c:catAx>
      <c:valAx>
        <c:axId val="112013312"/>
        <c:scaling>
          <c:orientation val="minMax"/>
        </c:scaling>
        <c:delete val="0"/>
        <c:axPos val="l"/>
        <c:majorGridlines/>
        <c:numFmt formatCode="0%" sourceLinked="1"/>
        <c:majorTickMark val="out"/>
        <c:minorTickMark val="none"/>
        <c:tickLblPos val="nextTo"/>
        <c:crossAx val="112011136"/>
        <c:crosses val="autoZero"/>
        <c:crossBetween val="between"/>
      </c:valAx>
    </c:plotArea>
    <c:plotVisOnly val="1"/>
    <c:dispBlanksAs val="gap"/>
    <c:showDLblsOverMax val="0"/>
  </c:chart>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79063486629386"/>
          <c:y val="0.21218736546820535"/>
          <c:w val="0.82969728783902008"/>
          <c:h val="0.5052612867835965"/>
        </c:manualLayout>
      </c:layout>
      <c:barChart>
        <c:barDir val="col"/>
        <c:grouping val="clustered"/>
        <c:varyColors val="0"/>
        <c:ser>
          <c:idx val="1"/>
          <c:order val="0"/>
          <c:tx>
            <c:strRef>
              <c:f>'10'!$D$47</c:f>
              <c:strCache>
                <c:ptCount val="1"/>
                <c:pt idx="0">
                  <c:v>%Frequency</c:v>
                </c:pt>
              </c:strCache>
            </c:strRef>
          </c:tx>
          <c:invertIfNegative val="0"/>
          <c:cat>
            <c:strRef>
              <c:f>'10'!$B$48:$B$50</c:f>
              <c:strCache>
                <c:ptCount val="3"/>
                <c:pt idx="0">
                  <c:v> 1-2 </c:v>
                </c:pt>
                <c:pt idx="1">
                  <c:v> 3-4</c:v>
                </c:pt>
                <c:pt idx="2">
                  <c:v>&gt;4</c:v>
                </c:pt>
              </c:strCache>
            </c:strRef>
          </c:cat>
          <c:val>
            <c:numRef>
              <c:f>'10'!$D$48:$D$50</c:f>
              <c:numCache>
                <c:formatCode>0%</c:formatCode>
                <c:ptCount val="3"/>
                <c:pt idx="0">
                  <c:v>0</c:v>
                </c:pt>
                <c:pt idx="1">
                  <c:v>0</c:v>
                </c:pt>
                <c:pt idx="2">
                  <c:v>0</c:v>
                </c:pt>
              </c:numCache>
            </c:numRef>
          </c:val>
        </c:ser>
        <c:dLbls>
          <c:showLegendKey val="0"/>
          <c:showVal val="0"/>
          <c:showCatName val="0"/>
          <c:showSerName val="0"/>
          <c:showPercent val="0"/>
          <c:showBubbleSize val="0"/>
        </c:dLbls>
        <c:gapWidth val="150"/>
        <c:axId val="112024576"/>
        <c:axId val="112043136"/>
      </c:barChart>
      <c:catAx>
        <c:axId val="112024576"/>
        <c:scaling>
          <c:orientation val="minMax"/>
        </c:scaling>
        <c:delete val="0"/>
        <c:axPos val="b"/>
        <c:title>
          <c:tx>
            <c:rich>
              <a:bodyPr/>
              <a:lstStyle/>
              <a:p>
                <a:pPr>
                  <a:defRPr/>
                </a:pPr>
                <a:r>
                  <a:rPr lang="en-US"/>
                  <a:t>Number</a:t>
                </a:r>
                <a:r>
                  <a:rPr lang="en-US" baseline="0"/>
                  <a:t> of blankets received</a:t>
                </a:r>
                <a:endParaRPr lang="en-US"/>
              </a:p>
            </c:rich>
          </c:tx>
          <c:layout>
            <c:manualLayout>
              <c:xMode val="edge"/>
              <c:yMode val="edge"/>
              <c:x val="0.28724805051542468"/>
              <c:y val="0.87301587301587302"/>
            </c:manualLayout>
          </c:layout>
          <c:overlay val="0"/>
        </c:title>
        <c:majorTickMark val="out"/>
        <c:minorTickMark val="none"/>
        <c:tickLblPos val="nextTo"/>
        <c:crossAx val="112043136"/>
        <c:crosses val="autoZero"/>
        <c:auto val="1"/>
        <c:lblAlgn val="ctr"/>
        <c:lblOffset val="100"/>
        <c:noMultiLvlLbl val="0"/>
      </c:catAx>
      <c:valAx>
        <c:axId val="112043136"/>
        <c:scaling>
          <c:orientation val="minMax"/>
        </c:scaling>
        <c:delete val="0"/>
        <c:axPos val="l"/>
        <c:majorGridlines/>
        <c:numFmt formatCode="0%" sourceLinked="1"/>
        <c:majorTickMark val="out"/>
        <c:minorTickMark val="none"/>
        <c:tickLblPos val="nextTo"/>
        <c:crossAx val="112024576"/>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49566172649472"/>
          <c:y val="0.18718372703412073"/>
          <c:w val="0.85274577519915273"/>
          <c:h val="0.55247191601049872"/>
        </c:manualLayout>
      </c:layout>
      <c:barChart>
        <c:barDir val="col"/>
        <c:grouping val="clustered"/>
        <c:varyColors val="0"/>
        <c:ser>
          <c:idx val="1"/>
          <c:order val="0"/>
          <c:tx>
            <c:strRef>
              <c:f>'10'!$D$73</c:f>
              <c:strCache>
                <c:ptCount val="1"/>
                <c:pt idx="0">
                  <c:v>%Frequency</c:v>
                </c:pt>
              </c:strCache>
            </c:strRef>
          </c:tx>
          <c:invertIfNegative val="0"/>
          <c:cat>
            <c:strRef>
              <c:f>'10'!$B$74:$B$76</c:f>
              <c:strCache>
                <c:ptCount val="3"/>
                <c:pt idx="0">
                  <c:v> 1-2 </c:v>
                </c:pt>
                <c:pt idx="1">
                  <c:v> 3-4</c:v>
                </c:pt>
                <c:pt idx="2">
                  <c:v>&gt;4</c:v>
                </c:pt>
              </c:strCache>
            </c:strRef>
          </c:cat>
          <c:val>
            <c:numRef>
              <c:f>'10'!$D$74:$D$76</c:f>
              <c:numCache>
                <c:formatCode>0%</c:formatCode>
                <c:ptCount val="3"/>
                <c:pt idx="0">
                  <c:v>0</c:v>
                </c:pt>
                <c:pt idx="1">
                  <c:v>0</c:v>
                </c:pt>
                <c:pt idx="2">
                  <c:v>0</c:v>
                </c:pt>
              </c:numCache>
            </c:numRef>
          </c:val>
        </c:ser>
        <c:dLbls>
          <c:showLegendKey val="0"/>
          <c:showVal val="0"/>
          <c:showCatName val="0"/>
          <c:showSerName val="0"/>
          <c:showPercent val="0"/>
          <c:showBubbleSize val="0"/>
        </c:dLbls>
        <c:gapWidth val="150"/>
        <c:axId val="112079232"/>
        <c:axId val="112081152"/>
      </c:barChart>
      <c:catAx>
        <c:axId val="112079232"/>
        <c:scaling>
          <c:orientation val="minMax"/>
        </c:scaling>
        <c:delete val="0"/>
        <c:axPos val="b"/>
        <c:title>
          <c:tx>
            <c:rich>
              <a:bodyPr/>
              <a:lstStyle/>
              <a:p>
                <a:pPr>
                  <a:defRPr/>
                </a:pPr>
                <a:r>
                  <a:rPr lang="en-US"/>
                  <a:t>Number</a:t>
                </a:r>
                <a:r>
                  <a:rPr lang="en-US" baseline="0"/>
                  <a:t> of sleeping mats received</a:t>
                </a:r>
                <a:endParaRPr lang="en-US"/>
              </a:p>
            </c:rich>
          </c:tx>
          <c:layout>
            <c:manualLayout>
              <c:xMode val="edge"/>
              <c:yMode val="edge"/>
              <c:x val="0.26956683046198171"/>
              <c:y val="0.88666666666666671"/>
            </c:manualLayout>
          </c:layout>
          <c:overlay val="0"/>
        </c:title>
        <c:majorTickMark val="out"/>
        <c:minorTickMark val="none"/>
        <c:tickLblPos val="nextTo"/>
        <c:crossAx val="112081152"/>
        <c:crosses val="autoZero"/>
        <c:auto val="1"/>
        <c:lblAlgn val="ctr"/>
        <c:lblOffset val="100"/>
        <c:noMultiLvlLbl val="0"/>
      </c:catAx>
      <c:valAx>
        <c:axId val="112081152"/>
        <c:scaling>
          <c:orientation val="minMax"/>
        </c:scaling>
        <c:delete val="0"/>
        <c:axPos val="l"/>
        <c:majorGridlines/>
        <c:numFmt formatCode="0%" sourceLinked="1"/>
        <c:majorTickMark val="out"/>
        <c:minorTickMark val="none"/>
        <c:tickLblPos val="nextTo"/>
        <c:crossAx val="112079232"/>
        <c:crosses val="autoZero"/>
        <c:crossBetween val="between"/>
      </c:valAx>
    </c:plotArea>
    <c:plotVisOnly val="1"/>
    <c:dispBlanksAs val="gap"/>
    <c:showDLblsOverMax val="0"/>
  </c:chart>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00880614222287"/>
          <c:y val="0.20640074920212442"/>
          <c:w val="0.86272328108519147"/>
          <c:h val="0.54288467462693923"/>
        </c:manualLayout>
      </c:layout>
      <c:barChart>
        <c:barDir val="col"/>
        <c:grouping val="clustered"/>
        <c:varyColors val="0"/>
        <c:ser>
          <c:idx val="1"/>
          <c:order val="0"/>
          <c:tx>
            <c:strRef>
              <c:f>'10'!$D$99</c:f>
              <c:strCache>
                <c:ptCount val="1"/>
                <c:pt idx="0">
                  <c:v>%Frequency</c:v>
                </c:pt>
              </c:strCache>
            </c:strRef>
          </c:tx>
          <c:invertIfNegative val="0"/>
          <c:cat>
            <c:strRef>
              <c:f>'10'!$B$100:$B$102</c:f>
              <c:strCache>
                <c:ptCount val="3"/>
                <c:pt idx="0">
                  <c:v> 1-2 </c:v>
                </c:pt>
                <c:pt idx="1">
                  <c:v> 3-4</c:v>
                </c:pt>
                <c:pt idx="2">
                  <c:v>&gt;4</c:v>
                </c:pt>
              </c:strCache>
            </c:strRef>
          </c:cat>
          <c:val>
            <c:numRef>
              <c:f>'10'!$D$100:$D$102</c:f>
              <c:numCache>
                <c:formatCode>0%</c:formatCode>
                <c:ptCount val="3"/>
                <c:pt idx="0">
                  <c:v>0</c:v>
                </c:pt>
                <c:pt idx="1">
                  <c:v>0</c:v>
                </c:pt>
                <c:pt idx="2">
                  <c:v>0</c:v>
                </c:pt>
              </c:numCache>
            </c:numRef>
          </c:val>
        </c:ser>
        <c:dLbls>
          <c:showLegendKey val="0"/>
          <c:showVal val="0"/>
          <c:showCatName val="0"/>
          <c:showSerName val="0"/>
          <c:showPercent val="0"/>
          <c:showBubbleSize val="0"/>
        </c:dLbls>
        <c:gapWidth val="150"/>
        <c:axId val="112100864"/>
        <c:axId val="112102784"/>
      </c:barChart>
      <c:catAx>
        <c:axId val="112100864"/>
        <c:scaling>
          <c:orientation val="minMax"/>
        </c:scaling>
        <c:delete val="0"/>
        <c:axPos val="b"/>
        <c:title>
          <c:tx>
            <c:rich>
              <a:bodyPr/>
              <a:lstStyle/>
              <a:p>
                <a:pPr>
                  <a:defRPr/>
                </a:pPr>
                <a:r>
                  <a:rPr lang="en-US"/>
                  <a:t>Kitchen</a:t>
                </a:r>
                <a:r>
                  <a:rPr lang="en-US" baseline="0"/>
                  <a:t> items received</a:t>
                </a:r>
                <a:endParaRPr lang="en-US"/>
              </a:p>
            </c:rich>
          </c:tx>
          <c:layout>
            <c:manualLayout>
              <c:xMode val="edge"/>
              <c:yMode val="edge"/>
              <c:x val="0.33758677361591483"/>
              <c:y val="0.89984350547730829"/>
            </c:manualLayout>
          </c:layout>
          <c:overlay val="0"/>
        </c:title>
        <c:majorTickMark val="out"/>
        <c:minorTickMark val="none"/>
        <c:tickLblPos val="nextTo"/>
        <c:crossAx val="112102784"/>
        <c:crosses val="autoZero"/>
        <c:auto val="1"/>
        <c:lblAlgn val="ctr"/>
        <c:lblOffset val="100"/>
        <c:noMultiLvlLbl val="0"/>
      </c:catAx>
      <c:valAx>
        <c:axId val="112102784"/>
        <c:scaling>
          <c:orientation val="minMax"/>
        </c:scaling>
        <c:delete val="0"/>
        <c:axPos val="l"/>
        <c:majorGridlines/>
        <c:numFmt formatCode="0%" sourceLinked="1"/>
        <c:majorTickMark val="out"/>
        <c:minorTickMark val="none"/>
        <c:tickLblPos val="nextTo"/>
        <c:crossAx val="112100864"/>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85868896017628"/>
          <c:y val="0.22796805479528967"/>
          <c:w val="0.85492731927027643"/>
          <c:h val="0.44221595295240501"/>
        </c:manualLayout>
      </c:layout>
      <c:barChart>
        <c:barDir val="col"/>
        <c:grouping val="clustered"/>
        <c:varyColors val="0"/>
        <c:ser>
          <c:idx val="1"/>
          <c:order val="0"/>
          <c:tx>
            <c:strRef>
              <c:f>'10'!$D$125</c:f>
              <c:strCache>
                <c:ptCount val="1"/>
                <c:pt idx="0">
                  <c:v>%Frequency</c:v>
                </c:pt>
              </c:strCache>
            </c:strRef>
          </c:tx>
          <c:invertIfNegative val="0"/>
          <c:cat>
            <c:strRef>
              <c:f>'10'!$B$126:$B$128</c:f>
              <c:strCache>
                <c:ptCount val="3"/>
                <c:pt idx="0">
                  <c:v> 1-2 </c:v>
                </c:pt>
                <c:pt idx="1">
                  <c:v> 3-4</c:v>
                </c:pt>
                <c:pt idx="2">
                  <c:v>&gt;4</c:v>
                </c:pt>
              </c:strCache>
            </c:strRef>
          </c:cat>
          <c:val>
            <c:numRef>
              <c:f>'10'!$D$126:$D$128</c:f>
              <c:numCache>
                <c:formatCode>0%</c:formatCode>
                <c:ptCount val="3"/>
                <c:pt idx="0">
                  <c:v>0</c:v>
                </c:pt>
                <c:pt idx="1">
                  <c:v>0</c:v>
                </c:pt>
                <c:pt idx="2">
                  <c:v>0</c:v>
                </c:pt>
              </c:numCache>
            </c:numRef>
          </c:val>
        </c:ser>
        <c:dLbls>
          <c:showLegendKey val="0"/>
          <c:showVal val="0"/>
          <c:showCatName val="0"/>
          <c:showSerName val="0"/>
          <c:showPercent val="0"/>
          <c:showBubbleSize val="0"/>
        </c:dLbls>
        <c:gapWidth val="150"/>
        <c:axId val="113777280"/>
        <c:axId val="113779456"/>
      </c:barChart>
      <c:catAx>
        <c:axId val="113777280"/>
        <c:scaling>
          <c:orientation val="minMax"/>
        </c:scaling>
        <c:delete val="0"/>
        <c:axPos val="b"/>
        <c:title>
          <c:tx>
            <c:rich>
              <a:bodyPr/>
              <a:lstStyle/>
              <a:p>
                <a:pPr>
                  <a:defRPr/>
                </a:pPr>
                <a:r>
                  <a:rPr lang="en-US"/>
                  <a:t>Number</a:t>
                </a:r>
                <a:r>
                  <a:rPr lang="en-US" baseline="0"/>
                  <a:t> of Jerry cans received</a:t>
                </a:r>
                <a:endParaRPr lang="en-US"/>
              </a:p>
            </c:rich>
          </c:tx>
          <c:layout>
            <c:manualLayout>
              <c:xMode val="edge"/>
              <c:yMode val="edge"/>
              <c:x val="0.30968847412591943"/>
              <c:y val="0.85935046772787393"/>
            </c:manualLayout>
          </c:layout>
          <c:overlay val="0"/>
        </c:title>
        <c:majorTickMark val="out"/>
        <c:minorTickMark val="none"/>
        <c:tickLblPos val="nextTo"/>
        <c:crossAx val="113779456"/>
        <c:crosses val="autoZero"/>
        <c:auto val="1"/>
        <c:lblAlgn val="ctr"/>
        <c:lblOffset val="100"/>
        <c:noMultiLvlLbl val="0"/>
      </c:catAx>
      <c:valAx>
        <c:axId val="113779456"/>
        <c:scaling>
          <c:orientation val="minMax"/>
        </c:scaling>
        <c:delete val="0"/>
        <c:axPos val="l"/>
        <c:majorGridlines/>
        <c:numFmt formatCode="0%" sourceLinked="1"/>
        <c:majorTickMark val="out"/>
        <c:minorTickMark val="none"/>
        <c:tickLblPos val="nextTo"/>
        <c:crossAx val="113777280"/>
        <c:crosses val="autoZero"/>
        <c:crossBetween val="between"/>
      </c:valAx>
    </c:plotArea>
    <c:plotVisOnly val="1"/>
    <c:dispBlanksAs val="gap"/>
    <c:showDLblsOverMax val="0"/>
  </c:chart>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85868896017628"/>
          <c:y val="0.18943213023227587"/>
          <c:w val="0.85492731927027643"/>
          <c:h val="0.55011606208183517"/>
        </c:manualLayout>
      </c:layout>
      <c:barChart>
        <c:barDir val="col"/>
        <c:grouping val="clustered"/>
        <c:varyColors val="0"/>
        <c:ser>
          <c:idx val="1"/>
          <c:order val="0"/>
          <c:tx>
            <c:strRef>
              <c:f>'10'!$D$125</c:f>
              <c:strCache>
                <c:ptCount val="1"/>
                <c:pt idx="0">
                  <c:v>%Frequency</c:v>
                </c:pt>
              </c:strCache>
            </c:strRef>
          </c:tx>
          <c:invertIfNegative val="0"/>
          <c:cat>
            <c:strRef>
              <c:f>'10'!$B$126:$B$128</c:f>
              <c:strCache>
                <c:ptCount val="3"/>
                <c:pt idx="0">
                  <c:v> 1-2 </c:v>
                </c:pt>
                <c:pt idx="1">
                  <c:v> 3-4</c:v>
                </c:pt>
                <c:pt idx="2">
                  <c:v>&gt;4</c:v>
                </c:pt>
              </c:strCache>
            </c:strRef>
          </c:cat>
          <c:val>
            <c:numRef>
              <c:f>'10'!$D$126:$D$128</c:f>
              <c:numCache>
                <c:formatCode>0%</c:formatCode>
                <c:ptCount val="3"/>
                <c:pt idx="0">
                  <c:v>0</c:v>
                </c:pt>
                <c:pt idx="1">
                  <c:v>0</c:v>
                </c:pt>
                <c:pt idx="2">
                  <c:v>0</c:v>
                </c:pt>
              </c:numCache>
            </c:numRef>
          </c:val>
        </c:ser>
        <c:dLbls>
          <c:showLegendKey val="0"/>
          <c:showVal val="0"/>
          <c:showCatName val="0"/>
          <c:showSerName val="0"/>
          <c:showPercent val="0"/>
          <c:showBubbleSize val="0"/>
        </c:dLbls>
        <c:gapWidth val="150"/>
        <c:axId val="113807360"/>
        <c:axId val="113809280"/>
      </c:barChart>
      <c:catAx>
        <c:axId val="113807360"/>
        <c:scaling>
          <c:orientation val="minMax"/>
        </c:scaling>
        <c:delete val="0"/>
        <c:axPos val="b"/>
        <c:title>
          <c:tx>
            <c:rich>
              <a:bodyPr/>
              <a:lstStyle/>
              <a:p>
                <a:pPr>
                  <a:defRPr/>
                </a:pPr>
                <a:r>
                  <a:rPr lang="en-US"/>
                  <a:t>Number</a:t>
                </a:r>
                <a:r>
                  <a:rPr lang="en-US" baseline="0"/>
                  <a:t> of sanitary itemsreceived</a:t>
                </a:r>
                <a:endParaRPr lang="en-US"/>
              </a:p>
            </c:rich>
          </c:tx>
          <c:layout>
            <c:manualLayout>
              <c:xMode val="edge"/>
              <c:yMode val="edge"/>
              <c:x val="0.30968847412591943"/>
              <c:y val="0.85935046772787393"/>
            </c:manualLayout>
          </c:layout>
          <c:overlay val="0"/>
        </c:title>
        <c:majorTickMark val="out"/>
        <c:minorTickMark val="none"/>
        <c:tickLblPos val="nextTo"/>
        <c:crossAx val="113809280"/>
        <c:crosses val="autoZero"/>
        <c:auto val="1"/>
        <c:lblAlgn val="ctr"/>
        <c:lblOffset val="100"/>
        <c:noMultiLvlLbl val="0"/>
      </c:catAx>
      <c:valAx>
        <c:axId val="113809280"/>
        <c:scaling>
          <c:orientation val="minMax"/>
        </c:scaling>
        <c:delete val="0"/>
        <c:axPos val="l"/>
        <c:majorGridlines/>
        <c:numFmt formatCode="0%" sourceLinked="1"/>
        <c:majorTickMark val="out"/>
        <c:minorTickMark val="none"/>
        <c:tickLblPos val="nextTo"/>
        <c:crossAx val="113807360"/>
        <c:crosses val="autoZero"/>
        <c:crossBetween val="between"/>
      </c:valAx>
    </c:plotArea>
    <c:plotVisOnly val="1"/>
    <c:dispBlanksAs val="gap"/>
    <c:showDLblsOverMax val="0"/>
  </c:chart>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85868896017628"/>
          <c:y val="0.1860834673152767"/>
          <c:w val="0.85492731927027643"/>
          <c:h val="0.53994695689216854"/>
        </c:manualLayout>
      </c:layout>
      <c:barChart>
        <c:barDir val="col"/>
        <c:grouping val="clustered"/>
        <c:varyColors val="0"/>
        <c:ser>
          <c:idx val="1"/>
          <c:order val="0"/>
          <c:tx>
            <c:strRef>
              <c:f>'10'!$D$125</c:f>
              <c:strCache>
                <c:ptCount val="1"/>
                <c:pt idx="0">
                  <c:v>%Frequency</c:v>
                </c:pt>
              </c:strCache>
            </c:strRef>
          </c:tx>
          <c:invertIfNegative val="0"/>
          <c:cat>
            <c:strRef>
              <c:f>'10'!$B$126:$B$128</c:f>
              <c:strCache>
                <c:ptCount val="3"/>
                <c:pt idx="0">
                  <c:v> 1-2 </c:v>
                </c:pt>
                <c:pt idx="1">
                  <c:v> 3-4</c:v>
                </c:pt>
                <c:pt idx="2">
                  <c:v>&gt;4</c:v>
                </c:pt>
              </c:strCache>
            </c:strRef>
          </c:cat>
          <c:val>
            <c:numRef>
              <c:f>'10'!$D$126:$D$128</c:f>
              <c:numCache>
                <c:formatCode>0%</c:formatCode>
                <c:ptCount val="3"/>
                <c:pt idx="0">
                  <c:v>0</c:v>
                </c:pt>
                <c:pt idx="1">
                  <c:v>0</c:v>
                </c:pt>
                <c:pt idx="2">
                  <c:v>0</c:v>
                </c:pt>
              </c:numCache>
            </c:numRef>
          </c:val>
        </c:ser>
        <c:dLbls>
          <c:showLegendKey val="0"/>
          <c:showVal val="0"/>
          <c:showCatName val="0"/>
          <c:showSerName val="0"/>
          <c:showPercent val="0"/>
          <c:showBubbleSize val="0"/>
        </c:dLbls>
        <c:gapWidth val="150"/>
        <c:axId val="113575040"/>
        <c:axId val="113576960"/>
      </c:barChart>
      <c:catAx>
        <c:axId val="113575040"/>
        <c:scaling>
          <c:orientation val="minMax"/>
        </c:scaling>
        <c:delete val="0"/>
        <c:axPos val="b"/>
        <c:title>
          <c:tx>
            <c:rich>
              <a:bodyPr/>
              <a:lstStyle/>
              <a:p>
                <a:pPr>
                  <a:defRPr/>
                </a:pPr>
                <a:r>
                  <a:rPr lang="en-US"/>
                  <a:t>Number</a:t>
                </a:r>
                <a:r>
                  <a:rPr lang="en-US" baseline="0"/>
                  <a:t> of bars of soaps received</a:t>
                </a:r>
                <a:endParaRPr lang="en-US"/>
              </a:p>
            </c:rich>
          </c:tx>
          <c:layout>
            <c:manualLayout>
              <c:xMode val="edge"/>
              <c:yMode val="edge"/>
              <c:x val="0.30968847412591943"/>
              <c:y val="0.85935046772787393"/>
            </c:manualLayout>
          </c:layout>
          <c:overlay val="0"/>
        </c:title>
        <c:majorTickMark val="out"/>
        <c:minorTickMark val="none"/>
        <c:tickLblPos val="nextTo"/>
        <c:crossAx val="113576960"/>
        <c:crosses val="autoZero"/>
        <c:auto val="1"/>
        <c:lblAlgn val="ctr"/>
        <c:lblOffset val="100"/>
        <c:noMultiLvlLbl val="0"/>
      </c:catAx>
      <c:valAx>
        <c:axId val="113576960"/>
        <c:scaling>
          <c:orientation val="minMax"/>
        </c:scaling>
        <c:delete val="0"/>
        <c:axPos val="l"/>
        <c:majorGridlines/>
        <c:numFmt formatCode="0%" sourceLinked="1"/>
        <c:majorTickMark val="out"/>
        <c:minorTickMark val="none"/>
        <c:tickLblPos val="nextTo"/>
        <c:crossAx val="113575040"/>
        <c:crosses val="autoZero"/>
        <c:crossBetween val="between"/>
      </c:valAx>
    </c:plotArea>
    <c:plotVisOnly val="1"/>
    <c:dispBlanksAs val="gap"/>
    <c:showDLblsOverMax val="0"/>
  </c:chart>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85868896017628"/>
          <c:y val="0.22796805479528967"/>
          <c:w val="0.85492731927027643"/>
          <c:h val="0.44221595295240501"/>
        </c:manualLayout>
      </c:layout>
      <c:barChart>
        <c:barDir val="col"/>
        <c:grouping val="clustered"/>
        <c:varyColors val="0"/>
        <c:ser>
          <c:idx val="1"/>
          <c:order val="0"/>
          <c:tx>
            <c:strRef>
              <c:f>'10'!$D$125</c:f>
              <c:strCache>
                <c:ptCount val="1"/>
                <c:pt idx="0">
                  <c:v>%Frequency</c:v>
                </c:pt>
              </c:strCache>
            </c:strRef>
          </c:tx>
          <c:invertIfNegative val="0"/>
          <c:cat>
            <c:strRef>
              <c:f>'10'!$B$126:$B$128</c:f>
              <c:strCache>
                <c:ptCount val="3"/>
                <c:pt idx="0">
                  <c:v> 1-2 </c:v>
                </c:pt>
                <c:pt idx="1">
                  <c:v> 3-4</c:v>
                </c:pt>
                <c:pt idx="2">
                  <c:v>&gt;4</c:v>
                </c:pt>
              </c:strCache>
            </c:strRef>
          </c:cat>
          <c:val>
            <c:numRef>
              <c:f>'10'!$D$126:$D$128</c:f>
              <c:numCache>
                <c:formatCode>0%</c:formatCode>
                <c:ptCount val="3"/>
                <c:pt idx="0">
                  <c:v>0</c:v>
                </c:pt>
                <c:pt idx="1">
                  <c:v>0</c:v>
                </c:pt>
                <c:pt idx="2">
                  <c:v>0</c:v>
                </c:pt>
              </c:numCache>
            </c:numRef>
          </c:val>
        </c:ser>
        <c:dLbls>
          <c:showLegendKey val="0"/>
          <c:showVal val="0"/>
          <c:showCatName val="0"/>
          <c:showSerName val="0"/>
          <c:showPercent val="0"/>
          <c:showBubbleSize val="0"/>
        </c:dLbls>
        <c:gapWidth val="150"/>
        <c:axId val="113596672"/>
        <c:axId val="113607040"/>
      </c:barChart>
      <c:catAx>
        <c:axId val="113596672"/>
        <c:scaling>
          <c:orientation val="minMax"/>
        </c:scaling>
        <c:delete val="0"/>
        <c:axPos val="b"/>
        <c:title>
          <c:tx>
            <c:rich>
              <a:bodyPr/>
              <a:lstStyle/>
              <a:p>
                <a:pPr>
                  <a:defRPr/>
                </a:pPr>
                <a:r>
                  <a:rPr lang="en-US"/>
                  <a:t>Number</a:t>
                </a:r>
                <a:r>
                  <a:rPr lang="en-US" baseline="0"/>
                  <a:t> of basins received</a:t>
                </a:r>
                <a:endParaRPr lang="en-US"/>
              </a:p>
            </c:rich>
          </c:tx>
          <c:layout>
            <c:manualLayout>
              <c:xMode val="edge"/>
              <c:yMode val="edge"/>
              <c:x val="0.30968847412591943"/>
              <c:y val="0.85935046772787393"/>
            </c:manualLayout>
          </c:layout>
          <c:overlay val="0"/>
        </c:title>
        <c:majorTickMark val="out"/>
        <c:minorTickMark val="none"/>
        <c:tickLblPos val="nextTo"/>
        <c:crossAx val="113607040"/>
        <c:crosses val="autoZero"/>
        <c:auto val="1"/>
        <c:lblAlgn val="ctr"/>
        <c:lblOffset val="100"/>
        <c:noMultiLvlLbl val="0"/>
      </c:catAx>
      <c:valAx>
        <c:axId val="113607040"/>
        <c:scaling>
          <c:orientation val="minMax"/>
        </c:scaling>
        <c:delete val="0"/>
        <c:axPos val="l"/>
        <c:majorGridlines/>
        <c:numFmt formatCode="0%" sourceLinked="1"/>
        <c:majorTickMark val="out"/>
        <c:minorTickMark val="none"/>
        <c:tickLblPos val="nextTo"/>
        <c:crossAx val="113596672"/>
        <c:crosses val="autoZero"/>
        <c:crossBetween val="between"/>
      </c:valAx>
    </c:plotArea>
    <c:plotVisOnly val="1"/>
    <c:dispBlanksAs val="gap"/>
    <c:showDLblsOverMax val="0"/>
  </c:chart>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8.4154480689913755E-2"/>
          <c:y val="0.12640472094952035"/>
          <c:w val="0.76887489063867021"/>
          <c:h val="0.60871306644398915"/>
        </c:manualLayout>
      </c:layout>
      <c:barChart>
        <c:barDir val="col"/>
        <c:grouping val="clustered"/>
        <c:varyColors val="0"/>
        <c:ser>
          <c:idx val="1"/>
          <c:order val="0"/>
          <c:tx>
            <c:strRef>
              <c:f>'13'!$D$5</c:f>
              <c:strCache>
                <c:ptCount val="1"/>
                <c:pt idx="0">
                  <c:v>Tent</c:v>
                </c:pt>
              </c:strCache>
            </c:strRef>
          </c:tx>
          <c:invertIfNegative val="0"/>
          <c:dLbls>
            <c:showLegendKey val="0"/>
            <c:showVal val="1"/>
            <c:showCatName val="0"/>
            <c:showSerName val="0"/>
            <c:showPercent val="0"/>
            <c:showBubbleSize val="0"/>
            <c:showLeaderLines val="0"/>
          </c:dLbls>
          <c:cat>
            <c:strRef>
              <c:f>'13'!$B$6:$B$12</c:f>
              <c:strCache>
                <c:ptCount val="7"/>
                <c:pt idx="0">
                  <c:v> 0-5 </c:v>
                </c:pt>
                <c:pt idx="1">
                  <c:v> 6-10 </c:v>
                </c:pt>
                <c:pt idx="2">
                  <c:v> 11-15 </c:v>
                </c:pt>
                <c:pt idx="3">
                  <c:v> 16-20 </c:v>
                </c:pt>
                <c:pt idx="4">
                  <c:v> 21-25 </c:v>
                </c:pt>
                <c:pt idx="5">
                  <c:v> 26-30 </c:v>
                </c:pt>
                <c:pt idx="6">
                  <c:v>&gt;30 </c:v>
                </c:pt>
              </c:strCache>
            </c:strRef>
          </c:cat>
          <c:val>
            <c:numRef>
              <c:f>'13'!$D$6:$D$12</c:f>
              <c:numCache>
                <c:formatCode>0%</c:formatCode>
                <c:ptCount val="7"/>
                <c:pt idx="0">
                  <c:v>0</c:v>
                </c:pt>
                <c:pt idx="1">
                  <c:v>0</c:v>
                </c:pt>
                <c:pt idx="2">
                  <c:v>0</c:v>
                </c:pt>
                <c:pt idx="3">
                  <c:v>0</c:v>
                </c:pt>
                <c:pt idx="4">
                  <c:v>0</c:v>
                </c:pt>
                <c:pt idx="5">
                  <c:v>0</c:v>
                </c:pt>
                <c:pt idx="6">
                  <c:v>0</c:v>
                </c:pt>
              </c:numCache>
            </c:numRef>
          </c:val>
        </c:ser>
        <c:ser>
          <c:idx val="3"/>
          <c:order val="1"/>
          <c:tx>
            <c:strRef>
              <c:f>'13'!$F$5</c:f>
              <c:strCache>
                <c:ptCount val="1"/>
                <c:pt idx="0">
                  <c:v>Buul</c:v>
                </c:pt>
              </c:strCache>
            </c:strRef>
          </c:tx>
          <c:invertIfNegative val="0"/>
          <c:cat>
            <c:strRef>
              <c:f>'13'!$B$6:$B$12</c:f>
              <c:strCache>
                <c:ptCount val="7"/>
                <c:pt idx="0">
                  <c:v> 0-5 </c:v>
                </c:pt>
                <c:pt idx="1">
                  <c:v> 6-10 </c:v>
                </c:pt>
                <c:pt idx="2">
                  <c:v> 11-15 </c:v>
                </c:pt>
                <c:pt idx="3">
                  <c:v> 16-20 </c:v>
                </c:pt>
                <c:pt idx="4">
                  <c:v> 21-25 </c:v>
                </c:pt>
                <c:pt idx="5">
                  <c:v> 26-30 </c:v>
                </c:pt>
                <c:pt idx="6">
                  <c:v>&gt;30 </c:v>
                </c:pt>
              </c:strCache>
            </c:strRef>
          </c:cat>
          <c:val>
            <c:numRef>
              <c:f>'13'!$F$6:$F$12</c:f>
              <c:numCache>
                <c:formatCode>0%</c:formatCode>
                <c:ptCount val="7"/>
                <c:pt idx="0">
                  <c:v>0</c:v>
                </c:pt>
                <c:pt idx="1">
                  <c:v>0</c:v>
                </c:pt>
                <c:pt idx="2">
                  <c:v>0</c:v>
                </c:pt>
                <c:pt idx="3">
                  <c:v>0</c:v>
                </c:pt>
                <c:pt idx="4">
                  <c:v>0</c:v>
                </c:pt>
                <c:pt idx="5">
                  <c:v>0</c:v>
                </c:pt>
                <c:pt idx="6">
                  <c:v>0</c:v>
                </c:pt>
              </c:numCache>
            </c:numRef>
          </c:val>
        </c:ser>
        <c:ser>
          <c:idx val="5"/>
          <c:order val="2"/>
          <c:tx>
            <c:strRef>
              <c:f>'13'!$H$5</c:f>
              <c:strCache>
                <c:ptCount val="1"/>
                <c:pt idx="0">
                  <c:v>Shlter</c:v>
                </c:pt>
              </c:strCache>
            </c:strRef>
          </c:tx>
          <c:invertIfNegative val="0"/>
          <c:cat>
            <c:strRef>
              <c:f>'13'!$B$6:$B$12</c:f>
              <c:strCache>
                <c:ptCount val="7"/>
                <c:pt idx="0">
                  <c:v> 0-5 </c:v>
                </c:pt>
                <c:pt idx="1">
                  <c:v> 6-10 </c:v>
                </c:pt>
                <c:pt idx="2">
                  <c:v> 11-15 </c:v>
                </c:pt>
                <c:pt idx="3">
                  <c:v> 16-20 </c:v>
                </c:pt>
                <c:pt idx="4">
                  <c:v> 21-25 </c:v>
                </c:pt>
                <c:pt idx="5">
                  <c:v> 26-30 </c:v>
                </c:pt>
                <c:pt idx="6">
                  <c:v>&gt;30 </c:v>
                </c:pt>
              </c:strCache>
            </c:strRef>
          </c:cat>
          <c:val>
            <c:numRef>
              <c:f>'13'!$H$6:$H$12</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axId val="113301376"/>
        <c:axId val="113311744"/>
      </c:barChart>
      <c:catAx>
        <c:axId val="113301376"/>
        <c:scaling>
          <c:orientation val="minMax"/>
        </c:scaling>
        <c:delete val="0"/>
        <c:axPos val="b"/>
        <c:title>
          <c:tx>
            <c:rich>
              <a:bodyPr/>
              <a:lstStyle/>
              <a:p>
                <a:pPr>
                  <a:defRPr/>
                </a:pPr>
                <a:r>
                  <a:rPr lang="en-US"/>
                  <a:t>Age</a:t>
                </a:r>
                <a:r>
                  <a:rPr lang="en-US" baseline="0"/>
                  <a:t> (Months)</a:t>
                </a:r>
              </a:p>
            </c:rich>
          </c:tx>
          <c:layout>
            <c:manualLayout>
              <c:xMode val="edge"/>
              <c:yMode val="edge"/>
              <c:x val="0.3722616672915886"/>
              <c:y val="0.88696203801700502"/>
            </c:manualLayout>
          </c:layout>
          <c:overlay val="0"/>
        </c:title>
        <c:majorTickMark val="out"/>
        <c:minorTickMark val="none"/>
        <c:tickLblPos val="nextTo"/>
        <c:crossAx val="113311744"/>
        <c:crosses val="autoZero"/>
        <c:auto val="1"/>
        <c:lblAlgn val="ctr"/>
        <c:lblOffset val="100"/>
        <c:noMultiLvlLbl val="0"/>
      </c:catAx>
      <c:valAx>
        <c:axId val="113311744"/>
        <c:scaling>
          <c:orientation val="minMax"/>
        </c:scaling>
        <c:delete val="0"/>
        <c:axPos val="l"/>
        <c:majorGridlines/>
        <c:numFmt formatCode="0%" sourceLinked="1"/>
        <c:majorTickMark val="out"/>
        <c:minorTickMark val="none"/>
        <c:tickLblPos val="nextTo"/>
        <c:crossAx val="113301376"/>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pPr>
            <a:r>
              <a:rPr lang="en-US" sz="1300"/>
              <a:t>Number</a:t>
            </a:r>
            <a:r>
              <a:rPr lang="en-US" sz="1300" baseline="0"/>
              <a:t> of days worked</a:t>
            </a:r>
            <a:endParaRPr lang="en-US" sz="1300"/>
          </a:p>
        </c:rich>
      </c:tx>
      <c:layout>
        <c:manualLayout>
          <c:xMode val="edge"/>
          <c:yMode val="edge"/>
          <c:x val="0.25721522309711281"/>
          <c:y val="1.7699106822239182E-2"/>
        </c:manualLayout>
      </c:layout>
      <c:overlay val="0"/>
    </c:title>
    <c:autoTitleDeleted val="0"/>
    <c:plotArea>
      <c:layout>
        <c:manualLayout>
          <c:layoutTarget val="inner"/>
          <c:xMode val="edge"/>
          <c:yMode val="edge"/>
          <c:x val="9.1849518810148731E-2"/>
          <c:y val="0.17553651427213268"/>
          <c:w val="0.87759492563429575"/>
          <c:h val="0.6136810471074915"/>
        </c:manualLayout>
      </c:layout>
      <c:barChart>
        <c:barDir val="col"/>
        <c:grouping val="clustered"/>
        <c:varyColors val="0"/>
        <c:ser>
          <c:idx val="1"/>
          <c:order val="0"/>
          <c:tx>
            <c:strRef>
              <c:f>'2'!$D$59</c:f>
              <c:strCache>
                <c:ptCount val="1"/>
                <c:pt idx="0">
                  <c:v>% Frequency</c:v>
                </c:pt>
              </c:strCache>
            </c:strRef>
          </c:tx>
          <c:invertIfNegative val="0"/>
          <c:cat>
            <c:strRef>
              <c:f>'2'!$B$60:$B$66</c:f>
              <c:strCache>
                <c:ptCount val="7"/>
                <c:pt idx="0">
                  <c:v>&lt;1</c:v>
                </c:pt>
                <c:pt idx="1">
                  <c:v> 1-5 </c:v>
                </c:pt>
                <c:pt idx="2">
                  <c:v> 5-10 </c:v>
                </c:pt>
                <c:pt idx="3">
                  <c:v> 11-15 </c:v>
                </c:pt>
                <c:pt idx="4">
                  <c:v> 16-20 </c:v>
                </c:pt>
                <c:pt idx="5">
                  <c:v> 21-25 </c:v>
                </c:pt>
                <c:pt idx="6">
                  <c:v> 26-30 </c:v>
                </c:pt>
              </c:strCache>
            </c:strRef>
          </c:cat>
          <c:val>
            <c:numRef>
              <c:f>'2'!$D$60:$D$66</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axId val="99479552"/>
        <c:axId val="99481472"/>
      </c:barChart>
      <c:catAx>
        <c:axId val="99479552"/>
        <c:scaling>
          <c:orientation val="minMax"/>
        </c:scaling>
        <c:delete val="0"/>
        <c:axPos val="b"/>
        <c:title>
          <c:tx>
            <c:rich>
              <a:bodyPr/>
              <a:lstStyle/>
              <a:p>
                <a:pPr>
                  <a:defRPr/>
                </a:pPr>
                <a:r>
                  <a:rPr lang="en-US"/>
                  <a:t>Days</a:t>
                </a:r>
              </a:p>
            </c:rich>
          </c:tx>
          <c:layout>
            <c:manualLayout>
              <c:xMode val="edge"/>
              <c:yMode val="edge"/>
              <c:x val="0.47791776027996502"/>
              <c:y val="0.89435166017708745"/>
            </c:manualLayout>
          </c:layout>
          <c:overlay val="0"/>
        </c:title>
        <c:majorTickMark val="out"/>
        <c:minorTickMark val="none"/>
        <c:tickLblPos val="nextTo"/>
        <c:crossAx val="99481472"/>
        <c:crosses val="autoZero"/>
        <c:auto val="1"/>
        <c:lblAlgn val="ctr"/>
        <c:lblOffset val="100"/>
        <c:noMultiLvlLbl val="0"/>
      </c:catAx>
      <c:valAx>
        <c:axId val="99481472"/>
        <c:scaling>
          <c:orientation val="minMax"/>
        </c:scaling>
        <c:delete val="0"/>
        <c:axPos val="l"/>
        <c:majorGridlines/>
        <c:numFmt formatCode="0%" sourceLinked="1"/>
        <c:majorTickMark val="out"/>
        <c:minorTickMark val="none"/>
        <c:tickLblPos val="nextTo"/>
        <c:crossAx val="99479552"/>
        <c:crosses val="autoZero"/>
        <c:crossBetween val="between"/>
      </c:valAx>
    </c:plotArea>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sz="1300"/>
            </a:pPr>
            <a:r>
              <a:rPr lang="en-US" sz="1300"/>
              <a:t>Household</a:t>
            </a:r>
            <a:r>
              <a:rPr lang="en-US" sz="1300" baseline="0"/>
              <a:t> main livelihood source</a:t>
            </a:r>
            <a:endParaRPr lang="en-US" sz="1300"/>
          </a:p>
        </c:rich>
      </c:tx>
      <c:layout>
        <c:manualLayout>
          <c:xMode val="edge"/>
          <c:yMode val="edge"/>
          <c:x val="0.15909475292533679"/>
          <c:y val="4.1343702898291236E-2"/>
        </c:manualLayout>
      </c:layout>
      <c:overlay val="0"/>
    </c:title>
    <c:autoTitleDeleted val="0"/>
    <c:plotArea>
      <c:layout/>
      <c:pieChart>
        <c:varyColors val="1"/>
        <c:ser>
          <c:idx val="0"/>
          <c:order val="0"/>
          <c:tx>
            <c:strRef>
              <c:f>'2'!$D$28</c:f>
              <c:strCache>
                <c:ptCount val="1"/>
                <c:pt idx="0">
                  <c:v>%Freq</c:v>
                </c:pt>
              </c:strCache>
            </c:strRef>
          </c:tx>
          <c:dLbls>
            <c:showLegendKey val="0"/>
            <c:showVal val="1"/>
            <c:showCatName val="0"/>
            <c:showSerName val="0"/>
            <c:showPercent val="0"/>
            <c:showBubbleSize val="0"/>
            <c:showLeaderLines val="1"/>
          </c:dLbls>
          <c:cat>
            <c:strRef>
              <c:f>'2'!$B$29:$B$31</c:f>
              <c:strCache>
                <c:ptCount val="3"/>
                <c:pt idx="0">
                  <c:v>Inside settlement</c:v>
                </c:pt>
                <c:pt idx="1">
                  <c:v>Outside settlement</c:v>
                </c:pt>
                <c:pt idx="2">
                  <c:v>Un-employed</c:v>
                </c:pt>
              </c:strCache>
            </c:strRef>
          </c:cat>
          <c:val>
            <c:numRef>
              <c:f>'2'!$D$29:$D$31</c:f>
              <c:numCache>
                <c:formatCode>0%</c:formatCode>
                <c:ptCount val="3"/>
                <c:pt idx="0">
                  <c:v>0</c:v>
                </c:pt>
                <c:pt idx="1">
                  <c:v>0</c:v>
                </c:pt>
                <c:pt idx="2">
                  <c:v>0</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0794330103549732"/>
          <c:y val="0.27425470108285782"/>
          <c:w val="0.33767470708812697"/>
          <c:h val="0.69747576350644036"/>
        </c:manualLayout>
      </c:layout>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pPr>
            <a:r>
              <a:rPr lang="en-US" sz="1300"/>
              <a:t>Pregnant</a:t>
            </a:r>
            <a:r>
              <a:rPr lang="en-US" sz="1300" baseline="0"/>
              <a:t> and lactating women</a:t>
            </a:r>
            <a:endParaRPr lang="en-US" sz="1300"/>
          </a:p>
        </c:rich>
      </c:tx>
      <c:layout/>
      <c:overlay val="0"/>
    </c:title>
    <c:autoTitleDeleted val="0"/>
    <c:plotArea>
      <c:layout/>
      <c:barChart>
        <c:barDir val="col"/>
        <c:grouping val="clustered"/>
        <c:varyColors val="0"/>
        <c:ser>
          <c:idx val="1"/>
          <c:order val="0"/>
          <c:tx>
            <c:strRef>
              <c:f>'3'!$D$5</c:f>
              <c:strCache>
                <c:ptCount val="1"/>
                <c:pt idx="0">
                  <c:v>% Frequency</c:v>
                </c:pt>
              </c:strCache>
            </c:strRef>
          </c:tx>
          <c:invertIfNegative val="0"/>
          <c:cat>
            <c:strRef>
              <c:f>'3'!$B$6:$B$9</c:f>
              <c:strCache>
                <c:ptCount val="4"/>
                <c:pt idx="0">
                  <c:v>0 women</c:v>
                </c:pt>
                <c:pt idx="1">
                  <c:v>1-2 women</c:v>
                </c:pt>
                <c:pt idx="2">
                  <c:v>3-4 women</c:v>
                </c:pt>
                <c:pt idx="3">
                  <c:v>&gt;4 women</c:v>
                </c:pt>
              </c:strCache>
            </c:strRef>
          </c:cat>
          <c:val>
            <c:numRef>
              <c:f>'3'!$D$6:$D$9</c:f>
              <c:numCache>
                <c:formatCode>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00928128"/>
        <c:axId val="100938112"/>
      </c:barChart>
      <c:catAx>
        <c:axId val="100928128"/>
        <c:scaling>
          <c:orientation val="minMax"/>
        </c:scaling>
        <c:delete val="0"/>
        <c:axPos val="b"/>
        <c:majorTickMark val="out"/>
        <c:minorTickMark val="none"/>
        <c:tickLblPos val="nextTo"/>
        <c:crossAx val="100938112"/>
        <c:crosses val="autoZero"/>
        <c:auto val="1"/>
        <c:lblAlgn val="ctr"/>
        <c:lblOffset val="100"/>
        <c:noMultiLvlLbl val="0"/>
      </c:catAx>
      <c:valAx>
        <c:axId val="100938112"/>
        <c:scaling>
          <c:orientation val="minMax"/>
        </c:scaling>
        <c:delete val="0"/>
        <c:axPos val="l"/>
        <c:majorGridlines/>
        <c:numFmt formatCode="0%" sourceLinked="1"/>
        <c:majorTickMark val="out"/>
        <c:minorTickMark val="none"/>
        <c:tickLblPos val="nextTo"/>
        <c:crossAx val="100928128"/>
        <c:crosses val="autoZero"/>
        <c:crossBetween val="between"/>
      </c:valAx>
    </c:plotArea>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pPr>
            <a:r>
              <a:rPr lang="en-US" sz="1300"/>
              <a:t>Total</a:t>
            </a:r>
            <a:r>
              <a:rPr lang="en-US" sz="1300" baseline="0"/>
              <a:t> physical and mental impairment</a:t>
            </a:r>
            <a:endParaRPr lang="en-US" sz="1300"/>
          </a:p>
        </c:rich>
      </c:tx>
      <c:layout/>
      <c:overlay val="0"/>
    </c:title>
    <c:autoTitleDeleted val="0"/>
    <c:plotArea>
      <c:layout/>
      <c:barChart>
        <c:barDir val="col"/>
        <c:grouping val="clustered"/>
        <c:varyColors val="0"/>
        <c:ser>
          <c:idx val="1"/>
          <c:order val="0"/>
          <c:tx>
            <c:strRef>
              <c:f>'3'!$D$14</c:f>
              <c:strCache>
                <c:ptCount val="1"/>
                <c:pt idx="0">
                  <c:v>% Frequency</c:v>
                </c:pt>
              </c:strCache>
            </c:strRef>
          </c:tx>
          <c:invertIfNegative val="0"/>
          <c:cat>
            <c:strRef>
              <c:f>'3'!$B$15:$B$18</c:f>
              <c:strCache>
                <c:ptCount val="4"/>
                <c:pt idx="0">
                  <c:v>0 people</c:v>
                </c:pt>
                <c:pt idx="1">
                  <c:v>1-2 people</c:v>
                </c:pt>
                <c:pt idx="2">
                  <c:v>3-4 people</c:v>
                </c:pt>
                <c:pt idx="3">
                  <c:v>&gt;4 people</c:v>
                </c:pt>
              </c:strCache>
            </c:strRef>
          </c:cat>
          <c:val>
            <c:numRef>
              <c:f>'3'!$D$15:$D$18</c:f>
              <c:numCache>
                <c:formatCode>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00970496"/>
        <c:axId val="100972032"/>
      </c:barChart>
      <c:catAx>
        <c:axId val="100970496"/>
        <c:scaling>
          <c:orientation val="minMax"/>
        </c:scaling>
        <c:delete val="0"/>
        <c:axPos val="b"/>
        <c:majorTickMark val="out"/>
        <c:minorTickMark val="none"/>
        <c:tickLblPos val="nextTo"/>
        <c:crossAx val="100972032"/>
        <c:crosses val="autoZero"/>
        <c:auto val="1"/>
        <c:lblAlgn val="ctr"/>
        <c:lblOffset val="100"/>
        <c:noMultiLvlLbl val="0"/>
      </c:catAx>
      <c:valAx>
        <c:axId val="100972032"/>
        <c:scaling>
          <c:orientation val="minMax"/>
        </c:scaling>
        <c:delete val="0"/>
        <c:axPos val="l"/>
        <c:majorGridlines/>
        <c:numFmt formatCode="0%" sourceLinked="1"/>
        <c:majorTickMark val="out"/>
        <c:minorTickMark val="none"/>
        <c:tickLblPos val="nextTo"/>
        <c:crossAx val="100970496"/>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sz="1300"/>
            </a:pPr>
            <a:r>
              <a:rPr lang="en-US" sz="1300"/>
              <a:t>Household head</a:t>
            </a:r>
          </a:p>
        </c:rich>
      </c:tx>
      <c:layout>
        <c:manualLayout>
          <c:xMode val="edge"/>
          <c:yMode val="edge"/>
          <c:x val="0.26953155445733218"/>
          <c:y val="7.1877868747615859E-3"/>
        </c:manualLayout>
      </c:layout>
      <c:overlay val="0"/>
    </c:title>
    <c:autoTitleDeleted val="0"/>
    <c:view3D>
      <c:rotX val="30"/>
      <c:rotY val="0"/>
      <c:rAngAx val="0"/>
      <c:perspective val="30"/>
    </c:view3D>
    <c:floor>
      <c:thickness val="0"/>
    </c:floor>
    <c:sideWall>
      <c:thickness val="0"/>
    </c:sideWall>
    <c:backWall>
      <c:thickness val="0"/>
    </c:backWall>
    <c:plotArea>
      <c:layout>
        <c:manualLayout>
          <c:layoutTarget val="inner"/>
          <c:xMode val="edge"/>
          <c:yMode val="edge"/>
          <c:x val="7.8073355584650284E-2"/>
          <c:y val="0.24231897247473805"/>
          <c:w val="0.60773237664818525"/>
          <c:h val="0.71461252198892267"/>
        </c:manualLayout>
      </c:layout>
      <c:pie3DChart>
        <c:varyColors val="1"/>
        <c:ser>
          <c:idx val="0"/>
          <c:order val="0"/>
          <c:tx>
            <c:strRef>
              <c:f>'3'!$C$23</c:f>
              <c:strCache>
                <c:ptCount val="1"/>
                <c:pt idx="0">
                  <c:v>Frequency</c:v>
                </c:pt>
              </c:strCache>
            </c:strRef>
          </c:tx>
          <c:explosion val="13"/>
          <c:cat>
            <c:strRef>
              <c:f>'3'!$B$24:$B$26</c:f>
              <c:strCache>
                <c:ptCount val="3"/>
                <c:pt idx="0">
                  <c:v>Single female</c:v>
                </c:pt>
                <c:pt idx="1">
                  <c:v>Single male</c:v>
                </c:pt>
                <c:pt idx="2">
                  <c:v>Not single headed</c:v>
                </c:pt>
              </c:strCache>
            </c:strRef>
          </c:cat>
          <c:val>
            <c:numRef>
              <c:f>'3'!$C$24:$C$26</c:f>
              <c:numCache>
                <c:formatCode>General</c:formatCode>
                <c:ptCount val="3"/>
                <c:pt idx="0">
                  <c:v>0</c:v>
                </c:pt>
                <c:pt idx="1">
                  <c:v>0</c:v>
                </c:pt>
                <c:pt idx="2">
                  <c:v>0</c:v>
                </c:pt>
              </c:numCache>
            </c:numRef>
          </c:val>
        </c:ser>
        <c:ser>
          <c:idx val="1"/>
          <c:order val="1"/>
          <c:tx>
            <c:strRef>
              <c:f>'3'!$D$23</c:f>
              <c:strCache>
                <c:ptCount val="1"/>
                <c:pt idx="0">
                  <c:v>% Frequency</c:v>
                </c:pt>
              </c:strCache>
            </c:strRef>
          </c:tx>
          <c:explosion val="25"/>
          <c:cat>
            <c:strRef>
              <c:f>'3'!$B$24:$B$26</c:f>
              <c:strCache>
                <c:ptCount val="3"/>
                <c:pt idx="0">
                  <c:v>Single female</c:v>
                </c:pt>
                <c:pt idx="1">
                  <c:v>Single male</c:v>
                </c:pt>
                <c:pt idx="2">
                  <c:v>Not single headed</c:v>
                </c:pt>
              </c:strCache>
            </c:strRef>
          </c:cat>
          <c:val>
            <c:numRef>
              <c:f>'3'!$D$24:$D$26</c:f>
              <c:numCache>
                <c:formatCode>0%</c:formatCode>
                <c:ptCount val="3"/>
                <c:pt idx="0">
                  <c:v>0</c:v>
                </c:pt>
                <c:pt idx="1">
                  <c:v>0</c:v>
                </c:pt>
                <c:pt idx="2">
                  <c:v>0</c:v>
                </c:pt>
              </c:numCache>
            </c:numRef>
          </c:val>
        </c:ser>
        <c:dLbls>
          <c:showLegendKey val="0"/>
          <c:showVal val="0"/>
          <c:showCatName val="0"/>
          <c:showSerName val="0"/>
          <c:showPercent val="0"/>
          <c:showBubbleSize val="0"/>
          <c:showLeaderLines val="1"/>
        </c:dLbls>
      </c:pie3DChart>
    </c:plotArea>
    <c:legend>
      <c:legendPos val="r"/>
      <c:layout>
        <c:manualLayout>
          <c:xMode val="edge"/>
          <c:yMode val="edge"/>
          <c:x val="0.69451738651011818"/>
          <c:y val="0.23731323466968576"/>
          <c:w val="0.28266966629171353"/>
          <c:h val="0.3899283824762888"/>
        </c:manualLayout>
      </c:layout>
      <c:overlay val="0"/>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sz="1300"/>
            </a:pPr>
            <a:r>
              <a:rPr lang="en-US" sz="1300"/>
              <a:t>Reasons of leaving place of origin</a:t>
            </a:r>
          </a:p>
        </c:rich>
      </c:tx>
      <c:layout>
        <c:manualLayout>
          <c:xMode val="edge"/>
          <c:yMode val="edge"/>
          <c:x val="0.12486921893384016"/>
          <c:y val="0.1203008468421817"/>
        </c:manualLayout>
      </c:layout>
      <c:overlay val="0"/>
    </c:title>
    <c:autoTitleDeleted val="0"/>
    <c:view3D>
      <c:rotX val="30"/>
      <c:rotY val="0"/>
      <c:rAngAx val="0"/>
      <c:perspective val="30"/>
    </c:view3D>
    <c:floor>
      <c:thickness val="0"/>
    </c:floor>
    <c:sideWall>
      <c:thickness val="0"/>
    </c:sideWall>
    <c:backWall>
      <c:thickness val="0"/>
    </c:backWall>
    <c:plotArea>
      <c:layout/>
      <c:pie3DChart>
        <c:varyColors val="1"/>
        <c:ser>
          <c:idx val="0"/>
          <c:order val="0"/>
          <c:tx>
            <c:strRef>
              <c:f>'4'!$D$4</c:f>
              <c:strCache>
                <c:ptCount val="1"/>
                <c:pt idx="0">
                  <c:v>% Frequency</c:v>
                </c:pt>
              </c:strCache>
            </c:strRef>
          </c:tx>
          <c:explosion val="25"/>
          <c:dLbls>
            <c:showLegendKey val="0"/>
            <c:showVal val="1"/>
            <c:showCatName val="0"/>
            <c:showSerName val="0"/>
            <c:showPercent val="0"/>
            <c:showBubbleSize val="0"/>
            <c:showLeaderLines val="1"/>
          </c:dLbls>
          <c:cat>
            <c:strRef>
              <c:f>'4'!$B$5:$B$7</c:f>
              <c:strCache>
                <c:ptCount val="3"/>
                <c:pt idx="0">
                  <c:v>Insecurity</c:v>
                </c:pt>
                <c:pt idx="1">
                  <c:v>Livelihoods</c:v>
                </c:pt>
                <c:pt idx="2">
                  <c:v>Other</c:v>
                </c:pt>
              </c:strCache>
            </c:strRef>
          </c:cat>
          <c:val>
            <c:numRef>
              <c:f>'4'!$D$5:$D$7</c:f>
              <c:numCache>
                <c:formatCode>0%</c:formatCode>
                <c:ptCount val="3"/>
                <c:pt idx="0">
                  <c:v>0</c:v>
                </c:pt>
                <c:pt idx="1">
                  <c:v>0</c:v>
                </c:pt>
                <c:pt idx="2">
                  <c:v>0</c:v>
                </c:pt>
              </c:numCache>
            </c:numRef>
          </c:val>
        </c:ser>
        <c:dLbls>
          <c:showLegendKey val="0"/>
          <c:showVal val="0"/>
          <c:showCatName val="0"/>
          <c:showSerName val="0"/>
          <c:showPercent val="0"/>
          <c:showBubbleSize val="0"/>
          <c:showLeaderLines val="1"/>
        </c:dLbls>
      </c:pie3DChart>
    </c:plotArea>
    <c:legend>
      <c:legendPos val="r"/>
      <c:layout>
        <c:manualLayout>
          <c:xMode val="edge"/>
          <c:yMode val="edge"/>
          <c:x val="0.79573643919510062"/>
          <c:y val="0.27921587926509184"/>
          <c:w val="0.2042636519964785"/>
          <c:h val="0.39310681273536457"/>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5" Type="http://schemas.openxmlformats.org/officeDocument/2006/relationships/chart" Target="../charts/chart20.xml"/><Relationship Id="rId4" Type="http://schemas.openxmlformats.org/officeDocument/2006/relationships/chart" Target="../charts/chart19.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8.xml"/><Relationship Id="rId3" Type="http://schemas.openxmlformats.org/officeDocument/2006/relationships/chart" Target="../charts/chart23.xml"/><Relationship Id="rId7" Type="http://schemas.openxmlformats.org/officeDocument/2006/relationships/chart" Target="../charts/chart27.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chart" Target="../charts/chart26.xml"/><Relationship Id="rId5" Type="http://schemas.openxmlformats.org/officeDocument/2006/relationships/chart" Target="../charts/chart25.xml"/><Relationship Id="rId10" Type="http://schemas.openxmlformats.org/officeDocument/2006/relationships/chart" Target="../charts/chart30.xml"/><Relationship Id="rId4" Type="http://schemas.openxmlformats.org/officeDocument/2006/relationships/chart" Target="../charts/chart24.xml"/><Relationship Id="rId9" Type="http://schemas.openxmlformats.org/officeDocument/2006/relationships/chart" Target="../charts/chart29.xml"/></Relationships>
</file>

<file path=xl/drawings/_rels/drawing6.xml.rels><?xml version="1.0" encoding="UTF-8" standalone="yes"?>
<Relationships xmlns="http://schemas.openxmlformats.org/package/2006/relationships"><Relationship Id="rId8" Type="http://schemas.openxmlformats.org/officeDocument/2006/relationships/chart" Target="../charts/chart38.xml"/><Relationship Id="rId3" Type="http://schemas.openxmlformats.org/officeDocument/2006/relationships/chart" Target="../charts/chart33.xml"/><Relationship Id="rId7" Type="http://schemas.openxmlformats.org/officeDocument/2006/relationships/chart" Target="../charts/chart37.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chart" Target="../charts/chart36.xml"/><Relationship Id="rId5" Type="http://schemas.openxmlformats.org/officeDocument/2006/relationships/chart" Target="../charts/chart35.xml"/><Relationship Id="rId4" Type="http://schemas.openxmlformats.org/officeDocument/2006/relationships/chart" Target="../charts/chart3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9.xml"/></Relationships>
</file>

<file path=xl/drawings/drawing1.xml><?xml version="1.0" encoding="utf-8"?>
<xdr:wsDr xmlns:xdr="http://schemas.openxmlformats.org/drawingml/2006/spreadsheetDrawing" xmlns:a="http://schemas.openxmlformats.org/drawingml/2006/main">
  <xdr:twoCellAnchor>
    <xdr:from>
      <xdr:col>7</xdr:col>
      <xdr:colOff>133350</xdr:colOff>
      <xdr:row>1</xdr:row>
      <xdr:rowOff>95249</xdr:rowOff>
    </xdr:from>
    <xdr:to>
      <xdr:col>14</xdr:col>
      <xdr:colOff>438150</xdr:colOff>
      <xdr:row>12</xdr:row>
      <xdr:rowOff>33336</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133350</xdr:colOff>
      <xdr:row>33</xdr:row>
      <xdr:rowOff>171449</xdr:rowOff>
    </xdr:from>
    <xdr:to>
      <xdr:col>11</xdr:col>
      <xdr:colOff>438150</xdr:colOff>
      <xdr:row>45</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133350</xdr:colOff>
      <xdr:row>45</xdr:row>
      <xdr:rowOff>147637</xdr:rowOff>
    </xdr:from>
    <xdr:to>
      <xdr:col>11</xdr:col>
      <xdr:colOff>438150</xdr:colOff>
      <xdr:row>57</xdr:row>
      <xdr:rowOff>47625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104775</xdr:colOff>
      <xdr:row>57</xdr:row>
      <xdr:rowOff>200024</xdr:rowOff>
    </xdr:from>
    <xdr:to>
      <xdr:col>11</xdr:col>
      <xdr:colOff>409575</xdr:colOff>
      <xdr:row>68</xdr:row>
      <xdr:rowOff>142875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95249</xdr:colOff>
      <xdr:row>25</xdr:row>
      <xdr:rowOff>0</xdr:rowOff>
    </xdr:from>
    <xdr:to>
      <xdr:col>9</xdr:col>
      <xdr:colOff>352424</xdr:colOff>
      <xdr:row>33</xdr:row>
      <xdr:rowOff>28575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152400</xdr:colOff>
      <xdr:row>2</xdr:row>
      <xdr:rowOff>19049</xdr:rowOff>
    </xdr:from>
    <xdr:to>
      <xdr:col>10</xdr:col>
      <xdr:colOff>590550</xdr:colOff>
      <xdr:row>11</xdr:row>
      <xdr:rowOff>109536</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123825</xdr:colOff>
      <xdr:row>13</xdr:row>
      <xdr:rowOff>9526</xdr:rowOff>
    </xdr:from>
    <xdr:to>
      <xdr:col>10</xdr:col>
      <xdr:colOff>590550</xdr:colOff>
      <xdr:row>21</xdr:row>
      <xdr:rowOff>47626</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171450</xdr:colOff>
      <xdr:row>22</xdr:row>
      <xdr:rowOff>9525</xdr:rowOff>
    </xdr:from>
    <xdr:to>
      <xdr:col>10</xdr:col>
      <xdr:colOff>581025</xdr:colOff>
      <xdr:row>31</xdr:row>
      <xdr:rowOff>61911</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228600</xdr:colOff>
      <xdr:row>1</xdr:row>
      <xdr:rowOff>66675</xdr:rowOff>
    </xdr:from>
    <xdr:to>
      <xdr:col>9</xdr:col>
      <xdr:colOff>219075</xdr:colOff>
      <xdr:row>10</xdr:row>
      <xdr:rowOff>66675</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171450</xdr:colOff>
      <xdr:row>17</xdr:row>
      <xdr:rowOff>28575</xdr:rowOff>
    </xdr:from>
    <xdr:to>
      <xdr:col>11</xdr:col>
      <xdr:colOff>476250</xdr:colOff>
      <xdr:row>26</xdr:row>
      <xdr:rowOff>4761</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152400</xdr:colOff>
      <xdr:row>29</xdr:row>
      <xdr:rowOff>38100</xdr:rowOff>
    </xdr:from>
    <xdr:to>
      <xdr:col>11</xdr:col>
      <xdr:colOff>457200</xdr:colOff>
      <xdr:row>38</xdr:row>
      <xdr:rowOff>28576</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190500</xdr:colOff>
      <xdr:row>47</xdr:row>
      <xdr:rowOff>47624</xdr:rowOff>
    </xdr:from>
    <xdr:to>
      <xdr:col>10</xdr:col>
      <xdr:colOff>552450</xdr:colOff>
      <xdr:row>59</xdr:row>
      <xdr:rowOff>166686</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114300</xdr:colOff>
      <xdr:row>61</xdr:row>
      <xdr:rowOff>161924</xdr:rowOff>
    </xdr:from>
    <xdr:to>
      <xdr:col>9</xdr:col>
      <xdr:colOff>28575</xdr:colOff>
      <xdr:row>70</xdr:row>
      <xdr:rowOff>9525</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142875</xdr:colOff>
      <xdr:row>71</xdr:row>
      <xdr:rowOff>19050</xdr:rowOff>
    </xdr:from>
    <xdr:to>
      <xdr:col>12</xdr:col>
      <xdr:colOff>200025</xdr:colOff>
      <xdr:row>83</xdr:row>
      <xdr:rowOff>157162</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180975</xdr:colOff>
      <xdr:row>86</xdr:row>
      <xdr:rowOff>66675</xdr:rowOff>
    </xdr:from>
    <xdr:to>
      <xdr:col>11</xdr:col>
      <xdr:colOff>485775</xdr:colOff>
      <xdr:row>96</xdr:row>
      <xdr:rowOff>180975</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114301</xdr:colOff>
      <xdr:row>38</xdr:row>
      <xdr:rowOff>57150</xdr:rowOff>
    </xdr:from>
    <xdr:to>
      <xdr:col>10</xdr:col>
      <xdr:colOff>533400</xdr:colOff>
      <xdr:row>47</xdr:row>
      <xdr:rowOff>133351</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114298</xdr:colOff>
      <xdr:row>48</xdr:row>
      <xdr:rowOff>0</xdr:rowOff>
    </xdr:from>
    <xdr:to>
      <xdr:col>10</xdr:col>
      <xdr:colOff>590549</xdr:colOff>
      <xdr:row>56</xdr:row>
      <xdr:rowOff>9525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104775</xdr:colOff>
      <xdr:row>56</xdr:row>
      <xdr:rowOff>47625</xdr:rowOff>
    </xdr:from>
    <xdr:to>
      <xdr:col>10</xdr:col>
      <xdr:colOff>561975</xdr:colOff>
      <xdr:row>65</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190500</xdr:colOff>
      <xdr:row>1</xdr:row>
      <xdr:rowOff>142875</xdr:rowOff>
    </xdr:from>
    <xdr:to>
      <xdr:col>13</xdr:col>
      <xdr:colOff>495300</xdr:colOff>
      <xdr:row>12</xdr:row>
      <xdr:rowOff>23811</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123825</xdr:colOff>
      <xdr:row>12</xdr:row>
      <xdr:rowOff>161925</xdr:rowOff>
    </xdr:from>
    <xdr:to>
      <xdr:col>14</xdr:col>
      <xdr:colOff>85725</xdr:colOff>
      <xdr:row>22</xdr:row>
      <xdr:rowOff>166687</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190500</xdr:colOff>
      <xdr:row>7</xdr:row>
      <xdr:rowOff>180974</xdr:rowOff>
    </xdr:from>
    <xdr:to>
      <xdr:col>11</xdr:col>
      <xdr:colOff>228600</xdr:colOff>
      <xdr:row>19</xdr:row>
      <xdr:rowOff>119061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190500</xdr:colOff>
      <xdr:row>27</xdr:row>
      <xdr:rowOff>128587</xdr:rowOff>
    </xdr:from>
    <xdr:to>
      <xdr:col>11</xdr:col>
      <xdr:colOff>152400</xdr:colOff>
      <xdr:row>39</xdr:row>
      <xdr:rowOff>133350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133350</xdr:colOff>
      <xdr:row>65</xdr:row>
      <xdr:rowOff>28575</xdr:rowOff>
    </xdr:from>
    <xdr:to>
      <xdr:col>9</xdr:col>
      <xdr:colOff>495300</xdr:colOff>
      <xdr:row>74</xdr:row>
      <xdr:rowOff>57150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123825</xdr:colOff>
      <xdr:row>93</xdr:row>
      <xdr:rowOff>0</xdr:rowOff>
    </xdr:from>
    <xdr:to>
      <xdr:col>12</xdr:col>
      <xdr:colOff>142875</xdr:colOff>
      <xdr:row>102</xdr:row>
      <xdr:rowOff>180975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114299</xdr:colOff>
      <xdr:row>103</xdr:row>
      <xdr:rowOff>66676</xdr:rowOff>
    </xdr:from>
    <xdr:to>
      <xdr:col>9</xdr:col>
      <xdr:colOff>228600</xdr:colOff>
      <xdr:row>111</xdr:row>
      <xdr:rowOff>142875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114300</xdr:colOff>
      <xdr:row>113</xdr:row>
      <xdr:rowOff>9525</xdr:rowOff>
    </xdr:from>
    <xdr:to>
      <xdr:col>10</xdr:col>
      <xdr:colOff>152400</xdr:colOff>
      <xdr:row>121</xdr:row>
      <xdr:rowOff>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114301</xdr:colOff>
      <xdr:row>127</xdr:row>
      <xdr:rowOff>152400</xdr:rowOff>
    </xdr:from>
    <xdr:to>
      <xdr:col>10</xdr:col>
      <xdr:colOff>152401</xdr:colOff>
      <xdr:row>135</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104776</xdr:colOff>
      <xdr:row>121</xdr:row>
      <xdr:rowOff>57151</xdr:rowOff>
    </xdr:from>
    <xdr:to>
      <xdr:col>10</xdr:col>
      <xdr:colOff>76200</xdr:colOff>
      <xdr:row>127</xdr:row>
      <xdr:rowOff>85725</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104775</xdr:colOff>
      <xdr:row>141</xdr:row>
      <xdr:rowOff>9525</xdr:rowOff>
    </xdr:from>
    <xdr:to>
      <xdr:col>11</xdr:col>
      <xdr:colOff>114300</xdr:colOff>
      <xdr:row>149</xdr:row>
      <xdr:rowOff>152400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xdr:col>
      <xdr:colOff>161925</xdr:colOff>
      <xdr:row>155</xdr:row>
      <xdr:rowOff>161925</xdr:rowOff>
    </xdr:from>
    <xdr:to>
      <xdr:col>10</xdr:col>
      <xdr:colOff>495300</xdr:colOff>
      <xdr:row>166</xdr:row>
      <xdr:rowOff>180975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152400</xdr:colOff>
      <xdr:row>19</xdr:row>
      <xdr:rowOff>171450</xdr:rowOff>
    </xdr:from>
    <xdr:to>
      <xdr:col>11</xdr:col>
      <xdr:colOff>114300</xdr:colOff>
      <xdr:row>27</xdr:row>
      <xdr:rowOff>123826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114300</xdr:colOff>
      <xdr:row>45</xdr:row>
      <xdr:rowOff>104775</xdr:rowOff>
    </xdr:from>
    <xdr:to>
      <xdr:col>9</xdr:col>
      <xdr:colOff>352425</xdr:colOff>
      <xdr:row>53</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142875</xdr:colOff>
      <xdr:row>71</xdr:row>
      <xdr:rowOff>1</xdr:rowOff>
    </xdr:from>
    <xdr:to>
      <xdr:col>10</xdr:col>
      <xdr:colOff>285750</xdr:colOff>
      <xdr:row>79</xdr:row>
      <xdr:rowOff>1</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104775</xdr:colOff>
      <xdr:row>97</xdr:row>
      <xdr:rowOff>1</xdr:rowOff>
    </xdr:from>
    <xdr:to>
      <xdr:col>10</xdr:col>
      <xdr:colOff>523875</xdr:colOff>
      <xdr:row>104</xdr:row>
      <xdr:rowOff>133351</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57150</xdr:colOff>
      <xdr:row>123</xdr:row>
      <xdr:rowOff>57150</xdr:rowOff>
    </xdr:from>
    <xdr:to>
      <xdr:col>10</xdr:col>
      <xdr:colOff>257175</xdr:colOff>
      <xdr:row>130</xdr:row>
      <xdr:rowOff>123825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57150</xdr:colOff>
      <xdr:row>149</xdr:row>
      <xdr:rowOff>76200</xdr:rowOff>
    </xdr:from>
    <xdr:to>
      <xdr:col>10</xdr:col>
      <xdr:colOff>257175</xdr:colOff>
      <xdr:row>156</xdr:row>
      <xdr:rowOff>123825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95250</xdr:colOff>
      <xdr:row>174</xdr:row>
      <xdr:rowOff>180975</xdr:rowOff>
    </xdr:from>
    <xdr:to>
      <xdr:col>10</xdr:col>
      <xdr:colOff>295275</xdr:colOff>
      <xdr:row>182</xdr:row>
      <xdr:rowOff>95250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95250</xdr:colOff>
      <xdr:row>202</xdr:row>
      <xdr:rowOff>0</xdr:rowOff>
    </xdr:from>
    <xdr:to>
      <xdr:col>10</xdr:col>
      <xdr:colOff>295275</xdr:colOff>
      <xdr:row>208</xdr:row>
      <xdr:rowOff>95250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8</xdr:col>
      <xdr:colOff>152399</xdr:colOff>
      <xdr:row>2</xdr:row>
      <xdr:rowOff>1</xdr:rowOff>
    </xdr:from>
    <xdr:to>
      <xdr:col>16</xdr:col>
      <xdr:colOff>276224</xdr:colOff>
      <xdr:row>13</xdr:row>
      <xdr:rowOff>185737</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2.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T4"/>
  <sheetViews>
    <sheetView workbookViewId="0"/>
  </sheetViews>
  <sheetFormatPr defaultRowHeight="15" x14ac:dyDescent="0.25"/>
  <cols>
    <col min="77" max="77" width="36.28515625" customWidth="1"/>
    <col min="80" max="80" width="27.28515625" customWidth="1"/>
    <col min="82" max="82" width="19.7109375" customWidth="1"/>
    <col min="83" max="83" width="12.28515625" customWidth="1"/>
    <col min="87" max="87" width="22.28515625" customWidth="1"/>
    <col min="89" max="89" width="15.42578125" customWidth="1"/>
    <col min="90" max="90" width="19.140625" customWidth="1"/>
    <col min="92" max="92" width="23.140625" customWidth="1"/>
    <col min="93" max="95" width="9.140625" style="60"/>
    <col min="96" max="96" width="39" style="60" customWidth="1"/>
    <col min="97" max="97" width="9.140625" style="60"/>
  </cols>
  <sheetData>
    <row r="1" spans="1:436" x14ac:dyDescent="0.25">
      <c r="A1" t="s">
        <v>0</v>
      </c>
    </row>
    <row r="2" spans="1:436" x14ac:dyDescent="0.25">
      <c r="A2" t="s">
        <v>1</v>
      </c>
    </row>
    <row r="3" spans="1:436" x14ac:dyDescent="0.25">
      <c r="A3" t="s">
        <v>2</v>
      </c>
      <c r="B3" t="s">
        <v>3</v>
      </c>
      <c r="C3" t="s">
        <v>4</v>
      </c>
      <c r="D3" t="s">
        <v>5</v>
      </c>
      <c r="E3" t="s">
        <v>6</v>
      </c>
      <c r="F3" t="s">
        <v>7</v>
      </c>
      <c r="G3" t="s">
        <v>8</v>
      </c>
      <c r="H3" t="s">
        <v>9</v>
      </c>
      <c r="I3" t="s">
        <v>10</v>
      </c>
      <c r="J3" t="s">
        <v>11</v>
      </c>
      <c r="K3" t="s">
        <v>12</v>
      </c>
      <c r="L3" t="s">
        <v>13</v>
      </c>
      <c r="M3" t="s">
        <v>14</v>
      </c>
      <c r="N3" t="s">
        <v>15</v>
      </c>
      <c r="O3" t="s">
        <v>16</v>
      </c>
      <c r="P3" t="s">
        <v>17</v>
      </c>
      <c r="Q3" t="s">
        <v>18</v>
      </c>
      <c r="R3" t="s">
        <v>18</v>
      </c>
      <c r="S3" t="s">
        <v>18</v>
      </c>
      <c r="T3" t="s">
        <v>18</v>
      </c>
      <c r="U3" t="s">
        <v>18</v>
      </c>
      <c r="V3" t="s">
        <v>18</v>
      </c>
      <c r="W3" t="s">
        <v>18</v>
      </c>
      <c r="X3" t="s">
        <v>18</v>
      </c>
      <c r="Y3" t="s">
        <v>18</v>
      </c>
      <c r="Z3" t="s">
        <v>18</v>
      </c>
      <c r="AA3" t="s">
        <v>18</v>
      </c>
      <c r="AB3" t="s">
        <v>18</v>
      </c>
      <c r="AC3" t="s">
        <v>18</v>
      </c>
      <c r="AD3" t="s">
        <v>18</v>
      </c>
      <c r="AE3" t="s">
        <v>18</v>
      </c>
      <c r="AF3" t="s">
        <v>18</v>
      </c>
      <c r="AG3" t="s">
        <v>18</v>
      </c>
      <c r="AH3" t="s">
        <v>18</v>
      </c>
      <c r="AI3" t="s">
        <v>19</v>
      </c>
      <c r="AJ3" t="s">
        <v>20</v>
      </c>
      <c r="AK3" t="s">
        <v>21</v>
      </c>
      <c r="AL3" t="s">
        <v>22</v>
      </c>
      <c r="AM3" t="s">
        <v>23</v>
      </c>
      <c r="AN3" t="s">
        <v>24</v>
      </c>
      <c r="AO3" t="s">
        <v>25</v>
      </c>
      <c r="AP3" t="s">
        <v>26</v>
      </c>
      <c r="AQ3" t="s">
        <v>27</v>
      </c>
      <c r="AR3" t="s">
        <v>28</v>
      </c>
      <c r="AS3" t="s">
        <v>29</v>
      </c>
      <c r="AT3" t="s">
        <v>30</v>
      </c>
      <c r="AU3" t="s">
        <v>31</v>
      </c>
      <c r="AV3" t="s">
        <v>32</v>
      </c>
      <c r="AW3" t="s">
        <v>33</v>
      </c>
      <c r="AX3" t="s">
        <v>34</v>
      </c>
      <c r="AY3" t="s">
        <v>35</v>
      </c>
      <c r="AZ3" t="s">
        <v>36</v>
      </c>
      <c r="BA3" t="s">
        <v>37</v>
      </c>
      <c r="BB3" t="s">
        <v>38</v>
      </c>
      <c r="BC3" t="s">
        <v>39</v>
      </c>
      <c r="BD3" t="s">
        <v>18</v>
      </c>
      <c r="BE3" t="s">
        <v>18</v>
      </c>
      <c r="BF3" t="s">
        <v>18</v>
      </c>
      <c r="BG3" t="s">
        <v>18</v>
      </c>
      <c r="BH3" t="s">
        <v>18</v>
      </c>
      <c r="BI3" t="s">
        <v>18</v>
      </c>
      <c r="BJ3" t="s">
        <v>18</v>
      </c>
      <c r="BK3" t="s">
        <v>18</v>
      </c>
      <c r="BL3" t="s">
        <v>18</v>
      </c>
      <c r="BM3" t="s">
        <v>18</v>
      </c>
      <c r="BN3" t="s">
        <v>18</v>
      </c>
      <c r="BO3" t="s">
        <v>18</v>
      </c>
      <c r="BP3" t="s">
        <v>18</v>
      </c>
      <c r="BQ3" t="s">
        <v>18</v>
      </c>
      <c r="BR3" t="s">
        <v>18</v>
      </c>
      <c r="BS3" t="s">
        <v>18</v>
      </c>
      <c r="BT3" t="s">
        <v>18</v>
      </c>
      <c r="BU3" t="s">
        <v>18</v>
      </c>
      <c r="BV3" t="s">
        <v>40</v>
      </c>
      <c r="BW3" t="s">
        <v>41</v>
      </c>
      <c r="BX3" t="s">
        <v>42</v>
      </c>
      <c r="BY3" t="s">
        <v>43</v>
      </c>
      <c r="BZ3" t="s">
        <v>44</v>
      </c>
      <c r="CA3" t="s">
        <v>41</v>
      </c>
      <c r="CB3" t="s">
        <v>45</v>
      </c>
      <c r="CC3" t="s">
        <v>46</v>
      </c>
      <c r="CD3" t="s">
        <v>41</v>
      </c>
      <c r="CE3" t="s">
        <v>47</v>
      </c>
      <c r="CF3" t="s">
        <v>41</v>
      </c>
      <c r="CG3" t="s">
        <v>48</v>
      </c>
      <c r="CH3" t="s">
        <v>49</v>
      </c>
      <c r="CI3" t="s">
        <v>41</v>
      </c>
      <c r="CJ3" t="s">
        <v>50</v>
      </c>
      <c r="CK3" t="s">
        <v>41</v>
      </c>
      <c r="CL3" t="s">
        <v>51</v>
      </c>
      <c r="CM3" t="s">
        <v>52</v>
      </c>
      <c r="CN3" t="s">
        <v>41</v>
      </c>
      <c r="CO3" s="60" t="s">
        <v>47</v>
      </c>
      <c r="CP3" s="60" t="s">
        <v>41</v>
      </c>
      <c r="CQ3" s="60" t="s">
        <v>53</v>
      </c>
      <c r="CR3" s="60" t="s">
        <v>54</v>
      </c>
      <c r="CS3" s="60" t="s">
        <v>55</v>
      </c>
      <c r="CT3" t="s">
        <v>41</v>
      </c>
      <c r="CU3" t="s">
        <v>47</v>
      </c>
      <c r="CV3" t="s">
        <v>41</v>
      </c>
      <c r="CW3" t="s">
        <v>53</v>
      </c>
      <c r="CX3" t="s">
        <v>56</v>
      </c>
      <c r="CY3" t="s">
        <v>57</v>
      </c>
      <c r="CZ3" t="s">
        <v>58</v>
      </c>
      <c r="DA3" t="s">
        <v>59</v>
      </c>
      <c r="DB3" t="s">
        <v>60</v>
      </c>
      <c r="DC3" t="s">
        <v>61</v>
      </c>
      <c r="DD3" t="s">
        <v>62</v>
      </c>
      <c r="DE3" t="s">
        <v>63</v>
      </c>
      <c r="DF3" t="s">
        <v>64</v>
      </c>
      <c r="DG3" t="s">
        <v>41</v>
      </c>
      <c r="DH3" t="s">
        <v>65</v>
      </c>
      <c r="DI3" t="s">
        <v>66</v>
      </c>
      <c r="DJ3" t="s">
        <v>67</v>
      </c>
      <c r="DK3" t="s">
        <v>68</v>
      </c>
      <c r="DL3" t="s">
        <v>69</v>
      </c>
      <c r="DM3" t="s">
        <v>70</v>
      </c>
      <c r="DN3" t="s">
        <v>71</v>
      </c>
      <c r="DO3" t="s">
        <v>72</v>
      </c>
      <c r="DP3" t="s">
        <v>73</v>
      </c>
      <c r="DQ3" t="s">
        <v>74</v>
      </c>
      <c r="DR3" t="s">
        <v>75</v>
      </c>
      <c r="DS3" t="s">
        <v>41</v>
      </c>
      <c r="DT3" t="s">
        <v>76</v>
      </c>
      <c r="DU3" t="s">
        <v>77</v>
      </c>
      <c r="DV3" t="s">
        <v>78</v>
      </c>
      <c r="DW3" t="s">
        <v>79</v>
      </c>
      <c r="DX3" t="s">
        <v>80</v>
      </c>
      <c r="DY3" t="s">
        <v>81</v>
      </c>
      <c r="DZ3" t="s">
        <v>82</v>
      </c>
      <c r="EA3" t="s">
        <v>83</v>
      </c>
      <c r="EB3" t="s">
        <v>84</v>
      </c>
      <c r="EC3" t="s">
        <v>85</v>
      </c>
      <c r="ED3" t="s">
        <v>81</v>
      </c>
      <c r="EE3" t="s">
        <v>86</v>
      </c>
      <c r="EF3" t="s">
        <v>87</v>
      </c>
      <c r="EG3" t="s">
        <v>84</v>
      </c>
      <c r="EH3" t="s">
        <v>88</v>
      </c>
      <c r="EI3" t="s">
        <v>81</v>
      </c>
      <c r="EJ3" t="s">
        <v>86</v>
      </c>
      <c r="EK3" t="s">
        <v>89</v>
      </c>
      <c r="EL3" t="s">
        <v>84</v>
      </c>
      <c r="EM3" t="s">
        <v>90</v>
      </c>
      <c r="EN3" t="s">
        <v>81</v>
      </c>
      <c r="EO3" t="s">
        <v>86</v>
      </c>
      <c r="EP3" t="s">
        <v>91</v>
      </c>
      <c r="EQ3" t="s">
        <v>84</v>
      </c>
      <c r="ER3" t="s">
        <v>92</v>
      </c>
      <c r="ES3" t="s">
        <v>81</v>
      </c>
      <c r="ET3" t="s">
        <v>86</v>
      </c>
      <c r="EU3" t="s">
        <v>93</v>
      </c>
      <c r="EV3" t="s">
        <v>84</v>
      </c>
      <c r="EW3" t="s">
        <v>94</v>
      </c>
      <c r="EX3" t="s">
        <v>81</v>
      </c>
      <c r="EY3" t="s">
        <v>86</v>
      </c>
      <c r="EZ3" t="s">
        <v>95</v>
      </c>
      <c r="FA3" t="s">
        <v>84</v>
      </c>
      <c r="FB3" t="s">
        <v>96</v>
      </c>
      <c r="FC3" t="s">
        <v>81</v>
      </c>
      <c r="FD3" t="s">
        <v>86</v>
      </c>
      <c r="FE3" t="s">
        <v>97</v>
      </c>
      <c r="FF3" t="s">
        <v>84</v>
      </c>
      <c r="FG3" t="s">
        <v>98</v>
      </c>
      <c r="FH3" t="s">
        <v>81</v>
      </c>
      <c r="FI3" t="s">
        <v>86</v>
      </c>
      <c r="FJ3" t="s">
        <v>99</v>
      </c>
      <c r="FK3" t="s">
        <v>84</v>
      </c>
      <c r="FL3" t="s">
        <v>100</v>
      </c>
      <c r="FM3" t="s">
        <v>101</v>
      </c>
      <c r="FN3" t="s">
        <v>102</v>
      </c>
      <c r="FO3" t="s">
        <v>103</v>
      </c>
      <c r="FP3" t="s">
        <v>103</v>
      </c>
      <c r="FQ3" t="s">
        <v>79</v>
      </c>
      <c r="FR3" t="s">
        <v>104</v>
      </c>
      <c r="FS3" t="s">
        <v>105</v>
      </c>
      <c r="FT3" t="s">
        <v>106</v>
      </c>
      <c r="FU3" t="s">
        <v>107</v>
      </c>
      <c r="FV3" t="s">
        <v>108</v>
      </c>
      <c r="FW3" t="s">
        <v>109</v>
      </c>
      <c r="FX3" t="s">
        <v>110</v>
      </c>
      <c r="FY3" t="s">
        <v>111</v>
      </c>
      <c r="FZ3" t="s">
        <v>112</v>
      </c>
      <c r="GA3" t="s">
        <v>113</v>
      </c>
      <c r="GB3" t="s">
        <v>110</v>
      </c>
      <c r="GC3" t="s">
        <v>114</v>
      </c>
      <c r="GD3" t="s">
        <v>115</v>
      </c>
      <c r="GE3" t="s">
        <v>116</v>
      </c>
      <c r="GF3" t="s">
        <v>110</v>
      </c>
      <c r="GG3" t="s">
        <v>117</v>
      </c>
      <c r="GH3" t="s">
        <v>118</v>
      </c>
      <c r="GI3" t="s">
        <v>119</v>
      </c>
      <c r="GJ3" t="s">
        <v>110</v>
      </c>
      <c r="GK3" t="s">
        <v>120</v>
      </c>
      <c r="GL3" t="s">
        <v>121</v>
      </c>
      <c r="GM3" t="s">
        <v>122</v>
      </c>
      <c r="GN3" t="s">
        <v>110</v>
      </c>
      <c r="GO3" t="s">
        <v>123</v>
      </c>
      <c r="GP3" t="s">
        <v>124</v>
      </c>
      <c r="GQ3" t="s">
        <v>125</v>
      </c>
      <c r="GR3" t="s">
        <v>110</v>
      </c>
      <c r="GS3" t="s">
        <v>126</v>
      </c>
      <c r="GT3" t="s">
        <v>127</v>
      </c>
      <c r="GU3" t="s">
        <v>128</v>
      </c>
      <c r="GV3" t="s">
        <v>110</v>
      </c>
      <c r="GW3" t="s">
        <v>129</v>
      </c>
      <c r="GX3" t="s">
        <v>130</v>
      </c>
      <c r="GY3" t="s">
        <v>131</v>
      </c>
      <c r="GZ3" t="s">
        <v>110</v>
      </c>
      <c r="HA3" t="s">
        <v>132</v>
      </c>
      <c r="HB3" t="s">
        <v>133</v>
      </c>
      <c r="HC3" t="s">
        <v>134</v>
      </c>
      <c r="HD3" t="s">
        <v>110</v>
      </c>
      <c r="HE3" t="s">
        <v>135</v>
      </c>
      <c r="HF3" t="s">
        <v>136</v>
      </c>
      <c r="HG3" t="s">
        <v>137</v>
      </c>
      <c r="HH3" t="s">
        <v>138</v>
      </c>
      <c r="HI3" t="s">
        <v>139</v>
      </c>
      <c r="HJ3" t="s">
        <v>41</v>
      </c>
      <c r="HK3" t="s">
        <v>140</v>
      </c>
      <c r="HL3" t="s">
        <v>141</v>
      </c>
      <c r="HM3" t="s">
        <v>41</v>
      </c>
      <c r="HN3" t="s">
        <v>142</v>
      </c>
      <c r="HO3" t="s">
        <v>41</v>
      </c>
      <c r="HP3" t="s">
        <v>143</v>
      </c>
      <c r="HQ3" t="s">
        <v>41</v>
      </c>
      <c r="HR3" t="s">
        <v>144</v>
      </c>
      <c r="HS3" t="s">
        <v>145</v>
      </c>
      <c r="HT3" t="s">
        <v>146</v>
      </c>
      <c r="HU3" t="s">
        <v>147</v>
      </c>
      <c r="HV3" t="s">
        <v>41</v>
      </c>
      <c r="HW3" t="s">
        <v>148</v>
      </c>
      <c r="HX3" t="s">
        <v>149</v>
      </c>
      <c r="HY3" t="s">
        <v>150</v>
      </c>
      <c r="HZ3" t="s">
        <v>151</v>
      </c>
      <c r="IA3" t="s">
        <v>41</v>
      </c>
      <c r="IB3" t="s">
        <v>152</v>
      </c>
      <c r="IC3" t="s">
        <v>153</v>
      </c>
      <c r="ID3" t="s">
        <v>154</v>
      </c>
      <c r="IE3" t="s">
        <v>155</v>
      </c>
      <c r="IF3" t="s">
        <v>156</v>
      </c>
      <c r="IG3" t="s">
        <v>157</v>
      </c>
      <c r="IH3" t="s">
        <v>41</v>
      </c>
      <c r="II3" t="s">
        <v>158</v>
      </c>
      <c r="IJ3" t="s">
        <v>41</v>
      </c>
      <c r="IK3" t="s">
        <v>159</v>
      </c>
      <c r="IL3" t="s">
        <v>41</v>
      </c>
      <c r="IM3" t="s">
        <v>160</v>
      </c>
      <c r="IN3" t="s">
        <v>161</v>
      </c>
      <c r="IO3" t="s">
        <v>162</v>
      </c>
      <c r="IP3" t="s">
        <v>41</v>
      </c>
      <c r="IQ3" t="s">
        <v>163</v>
      </c>
      <c r="IR3" t="s">
        <v>164</v>
      </c>
      <c r="IS3" t="s">
        <v>41</v>
      </c>
      <c r="IT3" t="s">
        <v>165</v>
      </c>
      <c r="IU3" t="s">
        <v>166</v>
      </c>
      <c r="IV3" t="s">
        <v>41</v>
      </c>
      <c r="IW3" t="s">
        <v>167</v>
      </c>
      <c r="IX3" t="s">
        <v>168</v>
      </c>
      <c r="IY3" t="s">
        <v>169</v>
      </c>
      <c r="IZ3" t="s">
        <v>170</v>
      </c>
      <c r="JA3" t="s">
        <v>171</v>
      </c>
      <c r="JB3" t="s">
        <v>41</v>
      </c>
      <c r="JC3" t="s">
        <v>172</v>
      </c>
      <c r="JD3" t="s">
        <v>173</v>
      </c>
      <c r="JE3" t="s">
        <v>174</v>
      </c>
      <c r="JF3" t="s">
        <v>175</v>
      </c>
      <c r="JG3" t="s">
        <v>176</v>
      </c>
      <c r="JH3" t="s">
        <v>177</v>
      </c>
      <c r="JI3" t="s">
        <v>178</v>
      </c>
      <c r="JJ3" t="s">
        <v>179</v>
      </c>
      <c r="JK3" t="s">
        <v>180</v>
      </c>
      <c r="JL3" t="s">
        <v>181</v>
      </c>
      <c r="JM3" t="s">
        <v>182</v>
      </c>
      <c r="JN3" t="s">
        <v>183</v>
      </c>
      <c r="JO3" t="s">
        <v>184</v>
      </c>
      <c r="JP3" t="s">
        <v>41</v>
      </c>
      <c r="JQ3" t="s">
        <v>185</v>
      </c>
      <c r="JR3" t="s">
        <v>41</v>
      </c>
      <c r="JS3" t="s">
        <v>186</v>
      </c>
      <c r="JT3" t="s">
        <v>41</v>
      </c>
      <c r="JU3" t="s">
        <v>187</v>
      </c>
      <c r="JV3" t="s">
        <v>188</v>
      </c>
      <c r="JW3" t="s">
        <v>189</v>
      </c>
      <c r="JX3" t="s">
        <v>190</v>
      </c>
      <c r="JY3" t="s">
        <v>191</v>
      </c>
      <c r="JZ3" t="s">
        <v>192</v>
      </c>
      <c r="KA3" t="s">
        <v>193</v>
      </c>
      <c r="KB3" t="s">
        <v>194</v>
      </c>
      <c r="KC3" t="s">
        <v>195</v>
      </c>
      <c r="KD3" t="s">
        <v>196</v>
      </c>
      <c r="KE3" t="s">
        <v>79</v>
      </c>
      <c r="KF3" t="s">
        <v>197</v>
      </c>
      <c r="KG3" t="s">
        <v>79</v>
      </c>
      <c r="KH3" t="s">
        <v>198</v>
      </c>
      <c r="KI3" t="s">
        <v>81</v>
      </c>
      <c r="KJ3" t="s">
        <v>82</v>
      </c>
      <c r="KK3" t="s">
        <v>83</v>
      </c>
      <c r="KL3" t="s">
        <v>84</v>
      </c>
      <c r="KM3" t="s">
        <v>199</v>
      </c>
      <c r="KN3" t="s">
        <v>200</v>
      </c>
      <c r="KO3" t="s">
        <v>201</v>
      </c>
      <c r="KP3" t="s">
        <v>202</v>
      </c>
      <c r="KQ3" t="s">
        <v>203</v>
      </c>
      <c r="KR3" t="s">
        <v>204</v>
      </c>
      <c r="KS3" t="s">
        <v>205</v>
      </c>
      <c r="KT3" t="s">
        <v>206</v>
      </c>
      <c r="KU3" t="s">
        <v>79</v>
      </c>
      <c r="KV3" t="s">
        <v>207</v>
      </c>
      <c r="KW3" t="s">
        <v>208</v>
      </c>
      <c r="KX3" t="s">
        <v>209</v>
      </c>
      <c r="KY3" t="s">
        <v>210</v>
      </c>
      <c r="KZ3" t="s">
        <v>211</v>
      </c>
      <c r="LA3" t="s">
        <v>206</v>
      </c>
      <c r="LB3" t="s">
        <v>79</v>
      </c>
      <c r="LC3" t="s">
        <v>212</v>
      </c>
      <c r="LD3" t="s">
        <v>213</v>
      </c>
      <c r="LE3" t="s">
        <v>214</v>
      </c>
      <c r="LF3" t="s">
        <v>215</v>
      </c>
      <c r="LG3" t="s">
        <v>216</v>
      </c>
      <c r="LH3" t="s">
        <v>206</v>
      </c>
      <c r="LI3" t="s">
        <v>79</v>
      </c>
      <c r="LJ3" t="s">
        <v>217</v>
      </c>
      <c r="LK3" t="s">
        <v>218</v>
      </c>
      <c r="LL3" t="s">
        <v>219</v>
      </c>
      <c r="LM3" t="s">
        <v>220</v>
      </c>
      <c r="LN3" t="s">
        <v>221</v>
      </c>
      <c r="LO3" t="s">
        <v>222</v>
      </c>
      <c r="LP3" t="s">
        <v>223</v>
      </c>
      <c r="LQ3" t="s">
        <v>206</v>
      </c>
      <c r="LR3" t="s">
        <v>79</v>
      </c>
      <c r="LS3" t="s">
        <v>224</v>
      </c>
      <c r="LT3" t="s">
        <v>225</v>
      </c>
      <c r="LU3" t="s">
        <v>226</v>
      </c>
      <c r="LV3" t="s">
        <v>227</v>
      </c>
      <c r="LW3" t="s">
        <v>228</v>
      </c>
      <c r="LX3" t="s">
        <v>229</v>
      </c>
      <c r="LY3" t="s">
        <v>230</v>
      </c>
      <c r="LZ3" t="s">
        <v>231</v>
      </c>
      <c r="MA3" t="s">
        <v>232</v>
      </c>
      <c r="MB3" t="s">
        <v>233</v>
      </c>
      <c r="MC3" t="s">
        <v>234</v>
      </c>
      <c r="MD3" t="s">
        <v>235</v>
      </c>
      <c r="ME3" t="s">
        <v>236</v>
      </c>
      <c r="MF3" t="s">
        <v>237</v>
      </c>
      <c r="MG3" t="s">
        <v>238</v>
      </c>
      <c r="MH3" t="s">
        <v>239</v>
      </c>
      <c r="MI3" t="s">
        <v>240</v>
      </c>
      <c r="MJ3" t="s">
        <v>241</v>
      </c>
      <c r="MK3" t="s">
        <v>242</v>
      </c>
      <c r="ML3" t="s">
        <v>243</v>
      </c>
      <c r="MM3" t="s">
        <v>41</v>
      </c>
      <c r="MN3" t="s">
        <v>244</v>
      </c>
      <c r="MO3" t="s">
        <v>245</v>
      </c>
      <c r="MP3" t="s">
        <v>246</v>
      </c>
      <c r="MQ3" t="s">
        <v>247</v>
      </c>
      <c r="MR3" t="s">
        <v>41</v>
      </c>
      <c r="MS3" t="s">
        <v>248</v>
      </c>
      <c r="MT3" t="s">
        <v>249</v>
      </c>
      <c r="MU3" t="s">
        <v>41</v>
      </c>
      <c r="MV3" t="s">
        <v>250</v>
      </c>
      <c r="MW3" t="s">
        <v>41</v>
      </c>
      <c r="MX3" t="s">
        <v>251</v>
      </c>
      <c r="MY3" t="s">
        <v>41</v>
      </c>
      <c r="MZ3" t="s">
        <v>252</v>
      </c>
      <c r="NA3" t="s">
        <v>253</v>
      </c>
      <c r="NB3" t="s">
        <v>254</v>
      </c>
      <c r="NC3" t="s">
        <v>255</v>
      </c>
      <c r="ND3" t="s">
        <v>41</v>
      </c>
      <c r="NE3" t="s">
        <v>256</v>
      </c>
      <c r="NF3" t="s">
        <v>257</v>
      </c>
      <c r="NG3" t="s">
        <v>258</v>
      </c>
      <c r="NH3" t="s">
        <v>259</v>
      </c>
      <c r="NI3" t="s">
        <v>41</v>
      </c>
      <c r="NJ3" t="s">
        <v>260</v>
      </c>
      <c r="NK3" t="s">
        <v>261</v>
      </c>
      <c r="NL3" t="s">
        <v>262</v>
      </c>
      <c r="NM3" t="s">
        <v>263</v>
      </c>
      <c r="NN3" t="s">
        <v>264</v>
      </c>
      <c r="NO3" t="s">
        <v>265</v>
      </c>
      <c r="NP3" t="s">
        <v>266</v>
      </c>
      <c r="NQ3" t="s">
        <v>267</v>
      </c>
      <c r="NR3" t="s">
        <v>268</v>
      </c>
      <c r="NS3" t="s">
        <v>269</v>
      </c>
      <c r="NT3" t="s">
        <v>270</v>
      </c>
      <c r="NU3" t="s">
        <v>271</v>
      </c>
      <c r="NV3" t="s">
        <v>272</v>
      </c>
      <c r="NW3" t="s">
        <v>273</v>
      </c>
      <c r="NX3" t="s">
        <v>274</v>
      </c>
      <c r="NY3" t="s">
        <v>275</v>
      </c>
      <c r="NZ3" t="s">
        <v>276</v>
      </c>
      <c r="OA3" t="s">
        <v>277</v>
      </c>
      <c r="OB3" t="s">
        <v>278</v>
      </c>
      <c r="OC3" t="s">
        <v>279</v>
      </c>
      <c r="OD3" t="s">
        <v>280</v>
      </c>
      <c r="OE3" t="s">
        <v>281</v>
      </c>
      <c r="OF3" t="s">
        <v>282</v>
      </c>
      <c r="OG3" t="s">
        <v>283</v>
      </c>
      <c r="OH3" t="s">
        <v>284</v>
      </c>
      <c r="OI3" t="s">
        <v>285</v>
      </c>
      <c r="OJ3" t="s">
        <v>286</v>
      </c>
      <c r="OK3" t="s">
        <v>287</v>
      </c>
      <c r="OL3" t="s">
        <v>288</v>
      </c>
      <c r="OM3" t="s">
        <v>289</v>
      </c>
      <c r="ON3" t="s">
        <v>290</v>
      </c>
      <c r="OO3" t="s">
        <v>291</v>
      </c>
      <c r="OP3" t="s">
        <v>41</v>
      </c>
      <c r="OQ3" t="s">
        <v>292</v>
      </c>
      <c r="OR3" t="s">
        <v>41</v>
      </c>
      <c r="OS3" t="s">
        <v>293</v>
      </c>
      <c r="OT3" t="s">
        <v>41</v>
      </c>
      <c r="OU3" t="s">
        <v>294</v>
      </c>
      <c r="OV3" t="s">
        <v>295</v>
      </c>
      <c r="OW3" t="s">
        <v>296</v>
      </c>
      <c r="OX3" t="s">
        <v>297</v>
      </c>
      <c r="OY3" t="s">
        <v>298</v>
      </c>
      <c r="OZ3" t="s">
        <v>299</v>
      </c>
      <c r="PA3" t="s">
        <v>300</v>
      </c>
      <c r="PB3" t="s">
        <v>41</v>
      </c>
      <c r="PC3" t="s">
        <v>301</v>
      </c>
      <c r="PD3" t="s">
        <v>41</v>
      </c>
      <c r="PE3" t="s">
        <v>302</v>
      </c>
      <c r="PF3" t="s">
        <v>41</v>
      </c>
      <c r="PG3" t="s">
        <v>303</v>
      </c>
      <c r="PH3" t="s">
        <v>41</v>
      </c>
      <c r="PI3" t="s">
        <v>304</v>
      </c>
      <c r="PJ3" t="s">
        <v>305</v>
      </c>
      <c r="PK3" t="s">
        <v>306</v>
      </c>
      <c r="PL3" t="s">
        <v>307</v>
      </c>
      <c r="PM3" t="s">
        <v>308</v>
      </c>
      <c r="PN3" t="s">
        <v>309</v>
      </c>
      <c r="PO3" t="s">
        <v>70</v>
      </c>
      <c r="PP3" t="s">
        <v>79</v>
      </c>
      <c r="PQ3" t="s">
        <v>310</v>
      </c>
      <c r="PR3" t="s">
        <v>311</v>
      </c>
      <c r="PS3" t="s">
        <v>312</v>
      </c>
      <c r="PT3" t="s">
        <v>313</v>
      </c>
    </row>
    <row r="4" spans="1:436" x14ac:dyDescent="0.25">
      <c r="A4" t="s">
        <v>314</v>
      </c>
      <c r="B4" t="s">
        <v>3</v>
      </c>
      <c r="C4" t="s">
        <v>4</v>
      </c>
      <c r="D4" t="s">
        <v>5</v>
      </c>
      <c r="E4" t="s">
        <v>6</v>
      </c>
      <c r="F4" t="s">
        <v>7</v>
      </c>
      <c r="G4" t="s">
        <v>8</v>
      </c>
      <c r="H4" t="s">
        <v>9</v>
      </c>
      <c r="I4" t="s">
        <v>10</v>
      </c>
      <c r="J4" t="s">
        <v>11</v>
      </c>
      <c r="K4" t="s">
        <v>12</v>
      </c>
      <c r="L4" t="s">
        <v>13</v>
      </c>
      <c r="M4" t="s">
        <v>14</v>
      </c>
      <c r="N4" t="s">
        <v>15</v>
      </c>
      <c r="O4" t="s">
        <v>315</v>
      </c>
      <c r="P4" t="s">
        <v>316</v>
      </c>
      <c r="Q4" t="s">
        <v>317</v>
      </c>
      <c r="R4" t="s">
        <v>318</v>
      </c>
      <c r="S4" t="s">
        <v>319</v>
      </c>
      <c r="T4" t="s">
        <v>320</v>
      </c>
      <c r="U4" t="s">
        <v>321</v>
      </c>
      <c r="V4" t="s">
        <v>322</v>
      </c>
      <c r="W4" t="s">
        <v>323</v>
      </c>
      <c r="X4" t="s">
        <v>324</v>
      </c>
      <c r="Y4" t="s">
        <v>325</v>
      </c>
      <c r="Z4" t="s">
        <v>326</v>
      </c>
      <c r="AA4" t="s">
        <v>327</v>
      </c>
      <c r="AB4" t="s">
        <v>328</v>
      </c>
      <c r="AC4" t="s">
        <v>329</v>
      </c>
      <c r="AD4" t="s">
        <v>330</v>
      </c>
      <c r="AE4" t="s">
        <v>331</v>
      </c>
      <c r="AF4" t="s">
        <v>332</v>
      </c>
      <c r="AG4" t="s">
        <v>333</v>
      </c>
      <c r="AH4" t="s">
        <v>334</v>
      </c>
      <c r="AI4" t="s">
        <v>335</v>
      </c>
      <c r="AJ4" t="s">
        <v>336</v>
      </c>
      <c r="AK4" t="s">
        <v>337</v>
      </c>
      <c r="AL4" t="s">
        <v>338</v>
      </c>
      <c r="AM4" t="s">
        <v>339</v>
      </c>
      <c r="AN4" t="s">
        <v>340</v>
      </c>
      <c r="AO4" t="s">
        <v>341</v>
      </c>
      <c r="AP4" t="s">
        <v>342</v>
      </c>
      <c r="AQ4" t="s">
        <v>343</v>
      </c>
      <c r="AR4" t="s">
        <v>344</v>
      </c>
      <c r="AS4" t="s">
        <v>345</v>
      </c>
      <c r="AT4" t="s">
        <v>346</v>
      </c>
      <c r="AU4" t="s">
        <v>347</v>
      </c>
      <c r="AV4" t="s">
        <v>348</v>
      </c>
      <c r="AW4" t="s">
        <v>349</v>
      </c>
      <c r="AX4" t="s">
        <v>350</v>
      </c>
      <c r="AY4" t="s">
        <v>351</v>
      </c>
      <c r="AZ4" t="s">
        <v>352</v>
      </c>
      <c r="BA4" t="s">
        <v>353</v>
      </c>
      <c r="BB4" t="s">
        <v>354</v>
      </c>
      <c r="BC4" t="s">
        <v>355</v>
      </c>
      <c r="BD4" t="s">
        <v>356</v>
      </c>
      <c r="BE4" t="s">
        <v>357</v>
      </c>
      <c r="BF4" t="s">
        <v>358</v>
      </c>
      <c r="BG4" t="s">
        <v>359</v>
      </c>
      <c r="BH4" t="s">
        <v>360</v>
      </c>
      <c r="BI4" t="s">
        <v>361</v>
      </c>
      <c r="BJ4" t="s">
        <v>362</v>
      </c>
      <c r="BK4" t="s">
        <v>363</v>
      </c>
      <c r="BL4" t="s">
        <v>364</v>
      </c>
      <c r="BM4" t="s">
        <v>365</v>
      </c>
      <c r="BN4" t="s">
        <v>366</v>
      </c>
      <c r="BO4" t="s">
        <v>367</v>
      </c>
      <c r="BP4" t="s">
        <v>368</v>
      </c>
      <c r="BQ4" t="s">
        <v>369</v>
      </c>
      <c r="BR4" t="s">
        <v>370</v>
      </c>
      <c r="BS4" t="s">
        <v>371</v>
      </c>
      <c r="BT4" t="s">
        <v>372</v>
      </c>
      <c r="BU4" t="s">
        <v>373</v>
      </c>
      <c r="BV4" t="s">
        <v>374</v>
      </c>
      <c r="BW4" t="s">
        <v>375</v>
      </c>
      <c r="BX4" t="s">
        <v>376</v>
      </c>
      <c r="BY4" t="s">
        <v>377</v>
      </c>
      <c r="BZ4" t="s">
        <v>378</v>
      </c>
      <c r="CA4" t="s">
        <v>379</v>
      </c>
      <c r="CB4" t="s">
        <v>380</v>
      </c>
      <c r="CC4" t="s">
        <v>381</v>
      </c>
      <c r="CD4" t="s">
        <v>382</v>
      </c>
      <c r="CE4" t="s">
        <v>383</v>
      </c>
      <c r="CF4" t="s">
        <v>384</v>
      </c>
      <c r="CG4" t="s">
        <v>385</v>
      </c>
      <c r="CH4" t="s">
        <v>386</v>
      </c>
      <c r="CI4" t="s">
        <v>387</v>
      </c>
      <c r="CJ4" t="s">
        <v>388</v>
      </c>
      <c r="CK4" t="s">
        <v>389</v>
      </c>
      <c r="CL4" t="s">
        <v>390</v>
      </c>
      <c r="CM4" t="s">
        <v>391</v>
      </c>
      <c r="CN4" t="s">
        <v>392</v>
      </c>
      <c r="CO4" s="60" t="s">
        <v>393</v>
      </c>
      <c r="CP4" s="60" t="s">
        <v>394</v>
      </c>
      <c r="CQ4" s="60" t="s">
        <v>395</v>
      </c>
      <c r="CR4" s="60" t="s">
        <v>396</v>
      </c>
      <c r="CS4" s="60" t="s">
        <v>397</v>
      </c>
      <c r="CT4" t="s">
        <v>398</v>
      </c>
      <c r="CU4" t="s">
        <v>399</v>
      </c>
      <c r="CV4" t="s">
        <v>400</v>
      </c>
      <c r="CW4" t="s">
        <v>401</v>
      </c>
      <c r="CX4" t="s">
        <v>402</v>
      </c>
      <c r="CY4" t="s">
        <v>403</v>
      </c>
      <c r="CZ4" t="s">
        <v>404</v>
      </c>
      <c r="DA4" t="s">
        <v>405</v>
      </c>
      <c r="DB4" t="s">
        <v>406</v>
      </c>
      <c r="DC4" t="s">
        <v>407</v>
      </c>
      <c r="DD4" t="s">
        <v>408</v>
      </c>
      <c r="DE4" t="s">
        <v>409</v>
      </c>
      <c r="DF4" t="s">
        <v>410</v>
      </c>
      <c r="DG4" t="s">
        <v>411</v>
      </c>
      <c r="DH4" t="s">
        <v>412</v>
      </c>
      <c r="DI4" t="s">
        <v>413</v>
      </c>
      <c r="DJ4" t="s">
        <v>414</v>
      </c>
      <c r="DK4" t="s">
        <v>415</v>
      </c>
      <c r="DL4" t="s">
        <v>416</v>
      </c>
      <c r="DM4" t="s">
        <v>417</v>
      </c>
      <c r="DN4" t="s">
        <v>418</v>
      </c>
      <c r="DO4" t="s">
        <v>419</v>
      </c>
      <c r="DP4" t="s">
        <v>420</v>
      </c>
      <c r="DQ4" t="s">
        <v>421</v>
      </c>
      <c r="DR4" t="s">
        <v>422</v>
      </c>
      <c r="DS4" t="s">
        <v>423</v>
      </c>
      <c r="DT4" t="s">
        <v>424</v>
      </c>
      <c r="DU4" t="s">
        <v>425</v>
      </c>
      <c r="DV4" t="s">
        <v>426</v>
      </c>
      <c r="DW4" t="s">
        <v>427</v>
      </c>
      <c r="DX4" t="s">
        <v>428</v>
      </c>
      <c r="DY4" t="s">
        <v>429</v>
      </c>
      <c r="DZ4" t="s">
        <v>430</v>
      </c>
      <c r="EA4" t="s">
        <v>431</v>
      </c>
      <c r="EB4" t="s">
        <v>432</v>
      </c>
      <c r="EC4" t="s">
        <v>433</v>
      </c>
      <c r="ED4" t="s">
        <v>434</v>
      </c>
      <c r="EE4" t="s">
        <v>1314</v>
      </c>
      <c r="EF4" t="s">
        <v>435</v>
      </c>
      <c r="EG4" t="s">
        <v>436</v>
      </c>
      <c r="EH4" t="s">
        <v>437</v>
      </c>
      <c r="EI4" t="s">
        <v>438</v>
      </c>
      <c r="EJ4" t="s">
        <v>439</v>
      </c>
      <c r="EK4" t="s">
        <v>440</v>
      </c>
      <c r="EL4" t="s">
        <v>441</v>
      </c>
      <c r="EM4" t="s">
        <v>442</v>
      </c>
      <c r="EN4" t="s">
        <v>443</v>
      </c>
      <c r="EO4" t="s">
        <v>444</v>
      </c>
      <c r="EP4" t="s">
        <v>445</v>
      </c>
      <c r="EQ4" t="s">
        <v>446</v>
      </c>
      <c r="ER4" t="s">
        <v>447</v>
      </c>
      <c r="ES4" t="s">
        <v>448</v>
      </c>
      <c r="ET4" t="s">
        <v>449</v>
      </c>
      <c r="EU4" t="s">
        <v>450</v>
      </c>
      <c r="EV4" t="s">
        <v>451</v>
      </c>
      <c r="EW4" t="s">
        <v>452</v>
      </c>
      <c r="EX4" t="s">
        <v>453</v>
      </c>
      <c r="EY4" t="s">
        <v>454</v>
      </c>
      <c r="EZ4" t="s">
        <v>455</v>
      </c>
      <c r="FA4" t="s">
        <v>456</v>
      </c>
      <c r="FB4" t="s">
        <v>457</v>
      </c>
      <c r="FC4" t="s">
        <v>458</v>
      </c>
      <c r="FD4" t="s">
        <v>459</v>
      </c>
      <c r="FE4" t="s">
        <v>460</v>
      </c>
      <c r="FF4" t="s">
        <v>461</v>
      </c>
      <c r="FG4" t="s">
        <v>462</v>
      </c>
      <c r="FH4" t="s">
        <v>463</v>
      </c>
      <c r="FI4" t="s">
        <v>464</v>
      </c>
      <c r="FJ4" t="s">
        <v>465</v>
      </c>
      <c r="FK4" t="s">
        <v>466</v>
      </c>
      <c r="FL4" t="s">
        <v>467</v>
      </c>
      <c r="FM4" t="s">
        <v>468</v>
      </c>
      <c r="FN4" t="s">
        <v>469</v>
      </c>
      <c r="FO4" t="s">
        <v>470</v>
      </c>
      <c r="FP4" t="s">
        <v>471</v>
      </c>
      <c r="FQ4" t="s">
        <v>472</v>
      </c>
      <c r="FR4" t="s">
        <v>473</v>
      </c>
      <c r="FS4" t="s">
        <v>474</v>
      </c>
      <c r="FT4" t="s">
        <v>475</v>
      </c>
      <c r="FU4" t="s">
        <v>476</v>
      </c>
      <c r="FV4" t="s">
        <v>477</v>
      </c>
      <c r="FW4" t="s">
        <v>478</v>
      </c>
      <c r="FX4" t="s">
        <v>479</v>
      </c>
      <c r="FY4" t="s">
        <v>480</v>
      </c>
      <c r="FZ4" t="s">
        <v>481</v>
      </c>
      <c r="GA4" t="s">
        <v>482</v>
      </c>
      <c r="GB4" t="s">
        <v>483</v>
      </c>
      <c r="GC4" t="s">
        <v>484</v>
      </c>
      <c r="GD4" t="s">
        <v>485</v>
      </c>
      <c r="GE4" t="s">
        <v>486</v>
      </c>
      <c r="GF4" t="s">
        <v>487</v>
      </c>
      <c r="GG4" t="s">
        <v>488</v>
      </c>
      <c r="GH4" t="s">
        <v>489</v>
      </c>
      <c r="GI4" t="s">
        <v>490</v>
      </c>
      <c r="GJ4" t="s">
        <v>491</v>
      </c>
      <c r="GK4" t="s">
        <v>492</v>
      </c>
      <c r="GL4" t="s">
        <v>493</v>
      </c>
      <c r="GM4" t="s">
        <v>494</v>
      </c>
      <c r="GN4" t="s">
        <v>495</v>
      </c>
      <c r="GO4" t="s">
        <v>496</v>
      </c>
      <c r="GP4" t="s">
        <v>497</v>
      </c>
      <c r="GQ4" t="s">
        <v>498</v>
      </c>
      <c r="GR4" t="s">
        <v>499</v>
      </c>
      <c r="GS4" t="s">
        <v>500</v>
      </c>
      <c r="GT4" t="s">
        <v>501</v>
      </c>
      <c r="GU4" t="s">
        <v>502</v>
      </c>
      <c r="GV4" t="s">
        <v>503</v>
      </c>
      <c r="GW4" t="s">
        <v>504</v>
      </c>
      <c r="GX4" t="s">
        <v>505</v>
      </c>
      <c r="GY4" t="s">
        <v>506</v>
      </c>
      <c r="GZ4" t="s">
        <v>507</v>
      </c>
      <c r="HA4" t="s">
        <v>508</v>
      </c>
      <c r="HB4" t="s">
        <v>509</v>
      </c>
      <c r="HC4" t="s">
        <v>510</v>
      </c>
      <c r="HD4" t="s">
        <v>511</v>
      </c>
      <c r="HE4" t="s">
        <v>512</v>
      </c>
      <c r="HF4" t="s">
        <v>513</v>
      </c>
      <c r="HG4" t="s">
        <v>514</v>
      </c>
      <c r="HH4" t="s">
        <v>515</v>
      </c>
      <c r="HI4" t="s">
        <v>516</v>
      </c>
      <c r="HJ4" t="s">
        <v>517</v>
      </c>
      <c r="HK4" t="s">
        <v>518</v>
      </c>
      <c r="HL4" t="s">
        <v>519</v>
      </c>
      <c r="HM4" t="s">
        <v>520</v>
      </c>
      <c r="HN4" t="s">
        <v>521</v>
      </c>
      <c r="HO4" t="s">
        <v>522</v>
      </c>
      <c r="HP4" t="s">
        <v>523</v>
      </c>
      <c r="HQ4" t="s">
        <v>524</v>
      </c>
      <c r="HR4" t="s">
        <v>525</v>
      </c>
      <c r="HS4" t="s">
        <v>526</v>
      </c>
      <c r="HT4" t="s">
        <v>527</v>
      </c>
      <c r="HU4" t="s">
        <v>528</v>
      </c>
      <c r="HV4" t="s">
        <v>529</v>
      </c>
      <c r="HW4" t="s">
        <v>530</v>
      </c>
      <c r="HX4" t="s">
        <v>531</v>
      </c>
      <c r="HY4" t="s">
        <v>532</v>
      </c>
      <c r="HZ4" t="s">
        <v>533</v>
      </c>
      <c r="IA4" t="s">
        <v>534</v>
      </c>
      <c r="IB4" t="s">
        <v>535</v>
      </c>
      <c r="IC4" t="s">
        <v>536</v>
      </c>
      <c r="ID4" t="s">
        <v>537</v>
      </c>
      <c r="IE4" t="s">
        <v>538</v>
      </c>
      <c r="IF4" t="s">
        <v>539</v>
      </c>
      <c r="IG4" t="s">
        <v>540</v>
      </c>
      <c r="IH4" t="s">
        <v>541</v>
      </c>
      <c r="II4" t="s">
        <v>542</v>
      </c>
      <c r="IJ4" t="s">
        <v>543</v>
      </c>
      <c r="IK4" t="s">
        <v>544</v>
      </c>
      <c r="IL4" t="s">
        <v>545</v>
      </c>
      <c r="IM4" t="s">
        <v>546</v>
      </c>
      <c r="IN4" t="s">
        <v>547</v>
      </c>
      <c r="IO4" t="s">
        <v>548</v>
      </c>
      <c r="IP4" t="s">
        <v>549</v>
      </c>
      <c r="IQ4" t="s">
        <v>550</v>
      </c>
      <c r="IR4" t="s">
        <v>551</v>
      </c>
      <c r="IS4" t="s">
        <v>552</v>
      </c>
      <c r="IT4" t="s">
        <v>553</v>
      </c>
      <c r="IU4" t="s">
        <v>554</v>
      </c>
      <c r="IV4" t="s">
        <v>555</v>
      </c>
      <c r="IW4" t="s">
        <v>556</v>
      </c>
      <c r="IX4" t="s">
        <v>557</v>
      </c>
      <c r="IY4" t="s">
        <v>558</v>
      </c>
      <c r="IZ4" t="s">
        <v>559</v>
      </c>
      <c r="JA4" t="s">
        <v>560</v>
      </c>
      <c r="JB4" t="s">
        <v>561</v>
      </c>
      <c r="JC4" t="s">
        <v>562</v>
      </c>
      <c r="JD4" t="s">
        <v>563</v>
      </c>
      <c r="JE4" t="s">
        <v>564</v>
      </c>
      <c r="JF4" t="s">
        <v>565</v>
      </c>
      <c r="JG4" t="s">
        <v>566</v>
      </c>
      <c r="JH4" t="s">
        <v>567</v>
      </c>
      <c r="JI4" t="s">
        <v>568</v>
      </c>
      <c r="JJ4" t="s">
        <v>569</v>
      </c>
      <c r="JK4" t="s">
        <v>570</v>
      </c>
      <c r="JL4" t="s">
        <v>571</v>
      </c>
      <c r="JM4" t="s">
        <v>572</v>
      </c>
      <c r="JN4" t="s">
        <v>573</v>
      </c>
      <c r="JO4" t="s">
        <v>574</v>
      </c>
      <c r="JP4" t="s">
        <v>575</v>
      </c>
      <c r="JQ4" t="s">
        <v>576</v>
      </c>
      <c r="JR4" t="s">
        <v>577</v>
      </c>
      <c r="JS4" t="s">
        <v>578</v>
      </c>
      <c r="JT4" t="s">
        <v>579</v>
      </c>
      <c r="JU4" t="s">
        <v>580</v>
      </c>
      <c r="JV4" t="s">
        <v>581</v>
      </c>
      <c r="JW4" t="s">
        <v>582</v>
      </c>
      <c r="JX4" t="s">
        <v>583</v>
      </c>
      <c r="JY4" t="s">
        <v>584</v>
      </c>
      <c r="JZ4" t="s">
        <v>585</v>
      </c>
      <c r="KA4" t="s">
        <v>586</v>
      </c>
      <c r="KB4" t="s">
        <v>587</v>
      </c>
      <c r="KC4" t="s">
        <v>588</v>
      </c>
      <c r="KD4" t="s">
        <v>589</v>
      </c>
      <c r="KE4" t="s">
        <v>590</v>
      </c>
      <c r="KF4" t="s">
        <v>591</v>
      </c>
      <c r="KG4" t="s">
        <v>592</v>
      </c>
      <c r="KH4" t="s">
        <v>593</v>
      </c>
      <c r="KI4" t="s">
        <v>594</v>
      </c>
      <c r="KJ4" t="s">
        <v>595</v>
      </c>
      <c r="KK4" t="s">
        <v>596</v>
      </c>
      <c r="KL4" t="s">
        <v>597</v>
      </c>
      <c r="KM4" t="s">
        <v>598</v>
      </c>
      <c r="KN4" t="s">
        <v>599</v>
      </c>
      <c r="KO4" t="s">
        <v>600</v>
      </c>
      <c r="KP4" t="s">
        <v>601</v>
      </c>
      <c r="KQ4" t="s">
        <v>602</v>
      </c>
      <c r="KR4" t="s">
        <v>603</v>
      </c>
      <c r="KS4" t="s">
        <v>604</v>
      </c>
      <c r="KT4" t="s">
        <v>605</v>
      </c>
      <c r="KU4" t="s">
        <v>606</v>
      </c>
      <c r="KV4" t="s">
        <v>607</v>
      </c>
      <c r="KW4" t="s">
        <v>608</v>
      </c>
      <c r="KX4" t="s">
        <v>609</v>
      </c>
      <c r="KY4" t="s">
        <v>610</v>
      </c>
      <c r="KZ4" t="s">
        <v>611</v>
      </c>
      <c r="LA4" t="s">
        <v>612</v>
      </c>
      <c r="LB4" t="s">
        <v>613</v>
      </c>
      <c r="LC4" t="s">
        <v>614</v>
      </c>
      <c r="LD4" t="s">
        <v>615</v>
      </c>
      <c r="LE4" t="s">
        <v>616</v>
      </c>
      <c r="LF4" t="s">
        <v>617</v>
      </c>
      <c r="LG4" t="s">
        <v>618</v>
      </c>
      <c r="LH4" t="s">
        <v>619</v>
      </c>
      <c r="LI4" t="s">
        <v>620</v>
      </c>
      <c r="LJ4" t="s">
        <v>621</v>
      </c>
      <c r="LK4" t="s">
        <v>622</v>
      </c>
      <c r="LL4" t="s">
        <v>623</v>
      </c>
      <c r="LM4" t="s">
        <v>624</v>
      </c>
      <c r="LN4" t="s">
        <v>625</v>
      </c>
      <c r="LO4" t="s">
        <v>626</v>
      </c>
      <c r="LP4" t="s">
        <v>627</v>
      </c>
      <c r="LQ4" t="s">
        <v>628</v>
      </c>
      <c r="LR4" t="s">
        <v>629</v>
      </c>
      <c r="LS4" t="s">
        <v>630</v>
      </c>
      <c r="LT4" t="s">
        <v>631</v>
      </c>
      <c r="LU4" t="s">
        <v>632</v>
      </c>
      <c r="LV4" t="s">
        <v>633</v>
      </c>
      <c r="LW4" t="s">
        <v>634</v>
      </c>
      <c r="LX4" t="s">
        <v>635</v>
      </c>
      <c r="LY4" t="s">
        <v>636</v>
      </c>
      <c r="LZ4" t="s">
        <v>637</v>
      </c>
      <c r="MA4" t="s">
        <v>638</v>
      </c>
      <c r="MB4" t="s">
        <v>639</v>
      </c>
      <c r="MC4" t="s">
        <v>640</v>
      </c>
      <c r="MD4" t="s">
        <v>641</v>
      </c>
      <c r="ME4" t="s">
        <v>642</v>
      </c>
      <c r="MF4" t="s">
        <v>643</v>
      </c>
      <c r="MG4" t="s">
        <v>644</v>
      </c>
      <c r="MH4" t="s">
        <v>645</v>
      </c>
      <c r="MI4" t="s">
        <v>646</v>
      </c>
      <c r="MJ4" t="s">
        <v>647</v>
      </c>
      <c r="MK4" t="s">
        <v>648</v>
      </c>
      <c r="ML4" t="s">
        <v>649</v>
      </c>
      <c r="MM4" t="s">
        <v>650</v>
      </c>
      <c r="MN4" t="s">
        <v>651</v>
      </c>
      <c r="MO4" t="s">
        <v>652</v>
      </c>
      <c r="MP4" t="s">
        <v>653</v>
      </c>
      <c r="MQ4" t="s">
        <v>654</v>
      </c>
      <c r="MR4" t="s">
        <v>655</v>
      </c>
      <c r="MS4" t="s">
        <v>656</v>
      </c>
      <c r="MT4" t="s">
        <v>657</v>
      </c>
      <c r="MU4" t="s">
        <v>658</v>
      </c>
      <c r="MV4" t="s">
        <v>659</v>
      </c>
      <c r="MW4" t="s">
        <v>660</v>
      </c>
      <c r="MX4" t="s">
        <v>661</v>
      </c>
      <c r="MY4" t="s">
        <v>662</v>
      </c>
      <c r="MZ4" t="s">
        <v>663</v>
      </c>
      <c r="NA4" t="s">
        <v>664</v>
      </c>
      <c r="NB4" t="s">
        <v>665</v>
      </c>
      <c r="NC4" t="s">
        <v>666</v>
      </c>
      <c r="ND4" t="s">
        <v>667</v>
      </c>
      <c r="NE4" t="s">
        <v>668</v>
      </c>
      <c r="NF4" t="s">
        <v>669</v>
      </c>
      <c r="NG4" t="s">
        <v>670</v>
      </c>
      <c r="NH4" t="s">
        <v>671</v>
      </c>
      <c r="NI4" t="s">
        <v>672</v>
      </c>
      <c r="NJ4" t="s">
        <v>673</v>
      </c>
      <c r="NK4" t="s">
        <v>674</v>
      </c>
      <c r="NL4" t="s">
        <v>675</v>
      </c>
      <c r="NM4" t="s">
        <v>676</v>
      </c>
      <c r="NN4" t="s">
        <v>677</v>
      </c>
      <c r="NO4" t="s">
        <v>678</v>
      </c>
      <c r="NP4" t="s">
        <v>679</v>
      </c>
      <c r="NQ4" t="s">
        <v>680</v>
      </c>
      <c r="NR4" t="s">
        <v>681</v>
      </c>
      <c r="NS4" t="s">
        <v>682</v>
      </c>
      <c r="NT4" t="s">
        <v>683</v>
      </c>
      <c r="NU4" t="s">
        <v>684</v>
      </c>
      <c r="NV4" t="s">
        <v>685</v>
      </c>
      <c r="NW4" t="s">
        <v>686</v>
      </c>
      <c r="NX4" t="s">
        <v>687</v>
      </c>
      <c r="NY4" t="s">
        <v>688</v>
      </c>
      <c r="NZ4" t="s">
        <v>689</v>
      </c>
      <c r="OA4" t="s">
        <v>690</v>
      </c>
      <c r="OB4" t="s">
        <v>691</v>
      </c>
      <c r="OC4" t="s">
        <v>692</v>
      </c>
      <c r="OD4" t="s">
        <v>693</v>
      </c>
      <c r="OE4" t="s">
        <v>694</v>
      </c>
      <c r="OF4" t="s">
        <v>695</v>
      </c>
      <c r="OG4" t="s">
        <v>696</v>
      </c>
      <c r="OH4" t="s">
        <v>697</v>
      </c>
      <c r="OI4" t="s">
        <v>698</v>
      </c>
      <c r="OJ4" t="s">
        <v>699</v>
      </c>
      <c r="OK4" t="s">
        <v>700</v>
      </c>
      <c r="OL4" t="s">
        <v>701</v>
      </c>
      <c r="OM4" t="s">
        <v>702</v>
      </c>
      <c r="ON4" t="s">
        <v>703</v>
      </c>
      <c r="OO4" t="s">
        <v>704</v>
      </c>
      <c r="OP4" t="s">
        <v>705</v>
      </c>
      <c r="OQ4" t="s">
        <v>706</v>
      </c>
      <c r="OR4" t="s">
        <v>707</v>
      </c>
      <c r="OS4" t="s">
        <v>708</v>
      </c>
      <c r="OT4" t="s">
        <v>709</v>
      </c>
      <c r="OU4" t="s">
        <v>710</v>
      </c>
      <c r="OV4" t="s">
        <v>711</v>
      </c>
      <c r="OW4" t="s">
        <v>712</v>
      </c>
      <c r="OX4" t="s">
        <v>713</v>
      </c>
      <c r="OY4" t="s">
        <v>714</v>
      </c>
      <c r="OZ4" t="s">
        <v>715</v>
      </c>
      <c r="PA4" t="s">
        <v>716</v>
      </c>
      <c r="PB4" t="s">
        <v>717</v>
      </c>
      <c r="PC4" t="s">
        <v>718</v>
      </c>
      <c r="PD4" t="s">
        <v>719</v>
      </c>
      <c r="PE4" t="s">
        <v>720</v>
      </c>
      <c r="PF4" t="s">
        <v>721</v>
      </c>
      <c r="PG4" t="s">
        <v>722</v>
      </c>
      <c r="PH4" t="s">
        <v>723</v>
      </c>
      <c r="PI4" t="s">
        <v>724</v>
      </c>
      <c r="PJ4" t="s">
        <v>725</v>
      </c>
      <c r="PK4" t="s">
        <v>726</v>
      </c>
      <c r="PL4" t="s">
        <v>727</v>
      </c>
      <c r="PM4" t="s">
        <v>728</v>
      </c>
      <c r="PN4" t="s">
        <v>729</v>
      </c>
      <c r="PO4" t="s">
        <v>730</v>
      </c>
      <c r="PP4" t="s">
        <v>731</v>
      </c>
      <c r="PQ4" t="s">
        <v>732</v>
      </c>
      <c r="PR4" t="s">
        <v>733</v>
      </c>
      <c r="PS4" t="s">
        <v>734</v>
      </c>
      <c r="PT4" t="s">
        <v>735</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workbookViewId="0"/>
  </sheetViews>
  <sheetFormatPr defaultRowHeight="15" x14ac:dyDescent="0.25"/>
  <cols>
    <col min="2" max="2" width="17" customWidth="1"/>
    <col min="3" max="3" width="21" customWidth="1"/>
    <col min="4" max="4" width="17.85546875" customWidth="1"/>
    <col min="5" max="5" width="18" customWidth="1"/>
    <col min="6" max="6" width="12.28515625" bestFit="1" customWidth="1"/>
    <col min="7" max="7" width="15.140625" bestFit="1" customWidth="1"/>
    <col min="8" max="8" width="12.28515625" bestFit="1" customWidth="1"/>
  </cols>
  <sheetData>
    <row r="1" spans="1:4" s="128" customFormat="1" ht="16.5" customHeight="1" x14ac:dyDescent="0.25">
      <c r="A1" s="127">
        <v>8</v>
      </c>
      <c r="B1" s="128" t="s">
        <v>736</v>
      </c>
    </row>
    <row r="3" spans="1:4" x14ac:dyDescent="0.25">
      <c r="B3" t="s">
        <v>1016</v>
      </c>
    </row>
    <row r="4" spans="1:4" x14ac:dyDescent="0.25">
      <c r="B4" s="45" t="s">
        <v>1017</v>
      </c>
      <c r="C4" s="58" t="s">
        <v>755</v>
      </c>
      <c r="D4" s="61" t="s">
        <v>748</v>
      </c>
    </row>
    <row r="5" spans="1:4" x14ac:dyDescent="0.25">
      <c r="B5" s="20" t="s">
        <v>749</v>
      </c>
      <c r="C5" s="5">
        <f>COUNTIF(Data!MS:MS,"Yes")</f>
        <v>0</v>
      </c>
      <c r="D5" s="6" t="e">
        <f>C5/C7</f>
        <v>#DIV/0!</v>
      </c>
    </row>
    <row r="6" spans="1:4" x14ac:dyDescent="0.25">
      <c r="B6" s="21" t="s">
        <v>750</v>
      </c>
      <c r="C6" s="14">
        <f>COUNTIF(Data!MS:MS,"No")</f>
        <v>0</v>
      </c>
      <c r="D6" s="15" t="e">
        <f>C6/C7</f>
        <v>#DIV/0!</v>
      </c>
    </row>
    <row r="7" spans="1:4" x14ac:dyDescent="0.25">
      <c r="B7" s="59" t="s">
        <v>751</v>
      </c>
      <c r="C7" s="14">
        <f>SUM(C5:C6)</f>
        <v>0</v>
      </c>
      <c r="D7" s="15" t="e">
        <f>SUM(D5:D6)</f>
        <v>#DIV/0!</v>
      </c>
    </row>
    <row r="9" spans="1:4" x14ac:dyDescent="0.25">
      <c r="B9" t="s">
        <v>249</v>
      </c>
    </row>
    <row r="10" spans="1:4" x14ac:dyDescent="0.25">
      <c r="B10" s="10" t="s">
        <v>1018</v>
      </c>
      <c r="C10" s="11" t="s">
        <v>755</v>
      </c>
      <c r="D10" s="12" t="s">
        <v>748</v>
      </c>
    </row>
    <row r="11" spans="1:4" x14ac:dyDescent="0.25">
      <c r="B11" s="20" t="s">
        <v>952</v>
      </c>
      <c r="C11" s="5">
        <f>COUNTIF(Data!MT:MT,"*Market*")</f>
        <v>0</v>
      </c>
      <c r="D11" s="82" t="e">
        <f>C11/C18</f>
        <v>#DIV/0!</v>
      </c>
    </row>
    <row r="12" spans="1:4" x14ac:dyDescent="0.25">
      <c r="B12" s="20" t="s">
        <v>1019</v>
      </c>
      <c r="C12" s="5">
        <f>COUNTIF(Data!MT:MT,"*Latrine*")</f>
        <v>0</v>
      </c>
      <c r="D12" s="82" t="e">
        <f>C12/C18</f>
        <v>#DIV/0!</v>
      </c>
    </row>
    <row r="13" spans="1:4" x14ac:dyDescent="0.25">
      <c r="B13" s="20" t="s">
        <v>817</v>
      </c>
      <c r="C13" s="5">
        <f>COUNTIF(Data!MT:MT,"*outside_settlement*")</f>
        <v>0</v>
      </c>
      <c r="D13" s="82" t="e">
        <f>C13/C18</f>
        <v>#DIV/0!</v>
      </c>
    </row>
    <row r="14" spans="1:4" x14ac:dyDescent="0.25">
      <c r="B14" s="20" t="s">
        <v>1020</v>
      </c>
      <c r="C14" s="5">
        <f>COUNTIF(Data!MT:MT,"*way_market*")</f>
        <v>0</v>
      </c>
      <c r="D14" s="82" t="e">
        <f>C14/C18</f>
        <v>#DIV/0!</v>
      </c>
    </row>
    <row r="15" spans="1:4" x14ac:dyDescent="0.25">
      <c r="B15" s="20" t="s">
        <v>1021</v>
      </c>
      <c r="C15" s="5">
        <f>COUNTIF(Data!MT:MT,"*way_school*")</f>
        <v>0</v>
      </c>
      <c r="D15" s="82" t="e">
        <f>C15/C18</f>
        <v>#DIV/0!</v>
      </c>
    </row>
    <row r="16" spans="1:4" x14ac:dyDescent="0.25">
      <c r="B16" s="20" t="s">
        <v>1022</v>
      </c>
      <c r="C16" s="5">
        <f>COUNTIF(Data!MT:MT,"*inside_shelter_night*")</f>
        <v>0</v>
      </c>
      <c r="D16" s="82" t="e">
        <f>C16/C18</f>
        <v>#DIV/0!</v>
      </c>
    </row>
    <row r="17" spans="2:4" x14ac:dyDescent="0.25">
      <c r="B17" s="21" t="s">
        <v>770</v>
      </c>
      <c r="C17" s="14">
        <f>COUNTIF(Data!MT:MT,"*Other*")</f>
        <v>0</v>
      </c>
      <c r="D17" s="83" t="e">
        <f>C17/C18</f>
        <v>#DIV/0!</v>
      </c>
    </row>
    <row r="18" spans="2:4" x14ac:dyDescent="0.25">
      <c r="B18" s="21" t="s">
        <v>812</v>
      </c>
      <c r="C18" s="14">
        <f>SUM(C11:C17)</f>
        <v>0</v>
      </c>
      <c r="D18" s="15" t="e">
        <f>SUM(D11:D17)</f>
        <v>#DIV/0!</v>
      </c>
    </row>
    <row r="19" spans="2:4" x14ac:dyDescent="0.25">
      <c r="B19" s="67" t="s">
        <v>813</v>
      </c>
      <c r="C19" s="14">
        <f>COUNTIF(Data!MT5:MT99827,"*e*") + COUNTIF(Data!MT5:MT99827,"way_school")</f>
        <v>0</v>
      </c>
      <c r="D19" s="25"/>
    </row>
    <row r="21" spans="2:4" x14ac:dyDescent="0.25">
      <c r="B21" t="s">
        <v>250</v>
      </c>
    </row>
    <row r="22" spans="2:4" x14ac:dyDescent="0.25">
      <c r="B22" s="10" t="s">
        <v>1023</v>
      </c>
      <c r="C22" s="11" t="s">
        <v>755</v>
      </c>
      <c r="D22" s="12" t="s">
        <v>748</v>
      </c>
    </row>
    <row r="23" spans="2:4" x14ac:dyDescent="0.25">
      <c r="B23" s="20" t="s">
        <v>1024</v>
      </c>
      <c r="C23" s="5">
        <f>COUNTIF(Data!MV:MV,"*avoid_area*")</f>
        <v>0</v>
      </c>
      <c r="D23" s="82" t="e">
        <f>C23/C29</f>
        <v>#DIV/0!</v>
      </c>
    </row>
    <row r="24" spans="2:4" x14ac:dyDescent="0.25">
      <c r="B24" s="20" t="s">
        <v>1025</v>
      </c>
      <c r="C24" s="5">
        <f>COUNTIF(Data!MV:MV,"*V*")</f>
        <v>0</v>
      </c>
      <c r="D24" s="82" t="e">
        <f>C24/C29</f>
        <v>#DIV/0!</v>
      </c>
    </row>
    <row r="25" spans="2:4" x14ac:dyDescent="0.25">
      <c r="B25" s="20" t="s">
        <v>1026</v>
      </c>
      <c r="C25" s="5">
        <f>COUNTIF(Data!MV:MV,"*move_company*")</f>
        <v>0</v>
      </c>
      <c r="D25" s="82" t="e">
        <f>C25/C29</f>
        <v>#DIV/0!</v>
      </c>
    </row>
    <row r="26" spans="2:4" x14ac:dyDescent="0.25">
      <c r="B26" s="20" t="s">
        <v>1027</v>
      </c>
      <c r="C26" s="5">
        <f>COUNTIF(Data!MV:MV,"*com_defense_group*")</f>
        <v>0</v>
      </c>
      <c r="D26" s="82" t="e">
        <f>C26/C29</f>
        <v>#DIV/0!</v>
      </c>
    </row>
    <row r="27" spans="2:4" x14ac:dyDescent="0.25">
      <c r="B27" s="20" t="s">
        <v>1028</v>
      </c>
      <c r="C27" s="5">
        <f>COUNTIF(Data!MV:MV,"*torch_flashlight*")</f>
        <v>0</v>
      </c>
      <c r="D27" s="82" t="e">
        <f>C27/C29</f>
        <v>#DIV/0!</v>
      </c>
    </row>
    <row r="28" spans="2:4" x14ac:dyDescent="0.25">
      <c r="B28" s="21" t="s">
        <v>770</v>
      </c>
      <c r="C28" s="14">
        <f>COUNTIF(Data!MV:MV,"*Other*")</f>
        <v>0</v>
      </c>
      <c r="D28" s="83" t="e">
        <f>C28/C29</f>
        <v>#DIV/0!</v>
      </c>
    </row>
    <row r="29" spans="2:4" x14ac:dyDescent="0.25">
      <c r="B29" s="21" t="s">
        <v>812</v>
      </c>
      <c r="C29" s="14">
        <f>SUM(C23:C28)</f>
        <v>0</v>
      </c>
      <c r="D29" s="15" t="e">
        <f>SUM(D23:D28)</f>
        <v>#DIV/0!</v>
      </c>
    </row>
    <row r="30" spans="2:4" x14ac:dyDescent="0.25">
      <c r="B30" s="67" t="s">
        <v>813</v>
      </c>
      <c r="C30" s="14">
        <f>COUNTIF(Data!MV5:MV9827,"*e*") + COUNTIF(Data!MV5:MV9827,"torch_flashlight")</f>
        <v>0</v>
      </c>
      <c r="D30" s="25"/>
    </row>
    <row r="32" spans="2:4" x14ac:dyDescent="0.25">
      <c r="B32" t="s">
        <v>251</v>
      </c>
    </row>
    <row r="33" spans="2:4" x14ac:dyDescent="0.25">
      <c r="B33" s="10" t="s">
        <v>1029</v>
      </c>
      <c r="C33" s="11" t="s">
        <v>755</v>
      </c>
      <c r="D33" s="12" t="s">
        <v>748</v>
      </c>
    </row>
    <row r="34" spans="2:4" x14ac:dyDescent="0.25">
      <c r="B34" s="20" t="s">
        <v>1030</v>
      </c>
      <c r="C34" s="5">
        <f>COUNTIF(Data!MX:MX,"kerosene_lantern")</f>
        <v>0</v>
      </c>
      <c r="D34" s="6" t="e">
        <f>C34/C41</f>
        <v>#DIV/0!</v>
      </c>
    </row>
    <row r="35" spans="2:4" x14ac:dyDescent="0.25">
      <c r="B35" s="20" t="s">
        <v>1028</v>
      </c>
      <c r="C35" s="5">
        <f>COUNTIF(Data!MX:MX,"torch_flashlight")</f>
        <v>0</v>
      </c>
      <c r="D35" s="6" t="e">
        <f>C35/C41</f>
        <v>#DIV/0!</v>
      </c>
    </row>
    <row r="36" spans="2:4" x14ac:dyDescent="0.25">
      <c r="B36" s="20" t="s">
        <v>1031</v>
      </c>
      <c r="C36" s="5">
        <f>COUNTIF(Data!MX:MX,"Candles")</f>
        <v>0</v>
      </c>
      <c r="D36" s="6" t="e">
        <f>C36/C41</f>
        <v>#DIV/0!</v>
      </c>
    </row>
    <row r="37" spans="2:4" x14ac:dyDescent="0.25">
      <c r="B37" s="20" t="s">
        <v>1032</v>
      </c>
      <c r="C37" s="5">
        <f>COUNTIF(Data!MX:MX,"wood_fire")</f>
        <v>0</v>
      </c>
      <c r="D37" s="6" t="e">
        <f>C37/C41</f>
        <v>#DIV/0!</v>
      </c>
    </row>
    <row r="38" spans="2:4" x14ac:dyDescent="0.25">
      <c r="B38" s="20" t="s">
        <v>1033</v>
      </c>
      <c r="C38" s="5">
        <f>COUNTIF(Data!MX:MX,"solar_lamp")</f>
        <v>0</v>
      </c>
      <c r="D38" s="6" t="e">
        <f>C38/C41</f>
        <v>#DIV/0!</v>
      </c>
    </row>
    <row r="39" spans="2:4" x14ac:dyDescent="0.25">
      <c r="B39" s="20" t="s">
        <v>1034</v>
      </c>
      <c r="C39" s="5">
        <f>COUNTIF(Data!MX:MX,"None")</f>
        <v>0</v>
      </c>
      <c r="D39" s="6" t="e">
        <f>C39/C41</f>
        <v>#DIV/0!</v>
      </c>
    </row>
    <row r="40" spans="2:4" x14ac:dyDescent="0.25">
      <c r="B40" s="21" t="s">
        <v>770</v>
      </c>
      <c r="C40" s="14">
        <f>COUNTIF(Data!MX:MX,"Other")</f>
        <v>0</v>
      </c>
      <c r="D40" s="15" t="e">
        <f>C40/C41</f>
        <v>#DIV/0!</v>
      </c>
    </row>
    <row r="41" spans="2:4" x14ac:dyDescent="0.25">
      <c r="B41" s="21" t="s">
        <v>751</v>
      </c>
      <c r="C41" s="14">
        <f>SUM(C34:C40)</f>
        <v>0</v>
      </c>
      <c r="D41" s="15" t="e">
        <f>SUM(D34:D40)</f>
        <v>#DIV/0!</v>
      </c>
    </row>
    <row r="43" spans="2:4" x14ac:dyDescent="0.25">
      <c r="B43" t="s">
        <v>277</v>
      </c>
    </row>
    <row r="44" spans="2:4" x14ac:dyDescent="0.25">
      <c r="B44" s="45" t="s">
        <v>1035</v>
      </c>
      <c r="C44" s="58" t="s">
        <v>755</v>
      </c>
      <c r="D44" s="61" t="s">
        <v>748</v>
      </c>
    </row>
    <row r="45" spans="2:4" x14ac:dyDescent="0.25">
      <c r="B45" s="20" t="s">
        <v>749</v>
      </c>
      <c r="C45" s="5">
        <f>COUNTIF(Data!OA:OA,"Yes")</f>
        <v>0</v>
      </c>
      <c r="D45" s="6" t="e">
        <f>C45/C47</f>
        <v>#DIV/0!</v>
      </c>
    </row>
    <row r="46" spans="2:4" x14ac:dyDescent="0.25">
      <c r="B46" s="21" t="s">
        <v>750</v>
      </c>
      <c r="C46" s="14">
        <f>COUNTIF(Data!OA:OA,"No")</f>
        <v>0</v>
      </c>
      <c r="D46" s="15" t="e">
        <f>C46/C47</f>
        <v>#DIV/0!</v>
      </c>
    </row>
    <row r="47" spans="2:4" x14ac:dyDescent="0.25">
      <c r="B47" s="59" t="s">
        <v>751</v>
      </c>
      <c r="C47" s="14">
        <f>SUM(C45:C46)</f>
        <v>0</v>
      </c>
      <c r="D47" s="15" t="e">
        <f>SUM(D45:D46)</f>
        <v>#DIV/0!</v>
      </c>
    </row>
    <row r="49" spans="2:8" x14ac:dyDescent="0.25">
      <c r="B49" t="s">
        <v>1040</v>
      </c>
    </row>
    <row r="50" spans="2:8" x14ac:dyDescent="0.25">
      <c r="B50" s="45" t="s">
        <v>1036</v>
      </c>
      <c r="C50" s="45" t="s">
        <v>1037</v>
      </c>
      <c r="D50" s="61" t="s">
        <v>748</v>
      </c>
      <c r="E50" s="45" t="s">
        <v>1038</v>
      </c>
      <c r="F50" s="61" t="s">
        <v>748</v>
      </c>
      <c r="G50" s="45" t="s">
        <v>1039</v>
      </c>
      <c r="H50" s="61" t="s">
        <v>748</v>
      </c>
    </row>
    <row r="51" spans="2:8" x14ac:dyDescent="0.25">
      <c r="B51" s="20" t="s">
        <v>749</v>
      </c>
      <c r="C51" s="4">
        <f>COUNTIF(Data!NX:NX,"Yes")</f>
        <v>0</v>
      </c>
      <c r="D51" s="119" t="e">
        <f>C51/C53</f>
        <v>#DIV/0!</v>
      </c>
      <c r="E51" s="4">
        <f>COUNTIF(Data!NY:NY,"Yes")</f>
        <v>0</v>
      </c>
      <c r="F51" s="119" t="e">
        <f>E51/E53</f>
        <v>#DIV/0!</v>
      </c>
      <c r="G51" s="4">
        <f>COUNTIF(Data!NZ:NZ,"Yes")</f>
        <v>0</v>
      </c>
      <c r="H51" s="119" t="e">
        <f>G51/G53</f>
        <v>#DIV/0!</v>
      </c>
    </row>
    <row r="52" spans="2:8" x14ac:dyDescent="0.25">
      <c r="B52" s="20" t="s">
        <v>750</v>
      </c>
      <c r="C52" s="4">
        <f>COUNTIF(Data!NX:NX,"No")</f>
        <v>0</v>
      </c>
      <c r="D52" s="119" t="e">
        <f>C52/C53</f>
        <v>#DIV/0!</v>
      </c>
      <c r="E52" s="4">
        <f>COUNTIF(Data!NY:NY,"No")</f>
        <v>0</v>
      </c>
      <c r="F52" s="119" t="e">
        <f>E52/E53</f>
        <v>#DIV/0!</v>
      </c>
      <c r="G52" s="4">
        <f>COUNTIF(Data!NZ:NZ,"No")</f>
        <v>0</v>
      </c>
      <c r="H52" s="119" t="e">
        <f>G52/G53</f>
        <v>#DIV/0!</v>
      </c>
    </row>
    <row r="53" spans="2:8" x14ac:dyDescent="0.25">
      <c r="B53" s="67" t="s">
        <v>751</v>
      </c>
      <c r="C53" s="7">
        <f>SUM(C51:C52)</f>
        <v>0</v>
      </c>
      <c r="D53" s="79"/>
      <c r="E53" s="7">
        <f>SUM(E51:E52)</f>
        <v>0</v>
      </c>
      <c r="F53" s="79"/>
      <c r="G53" s="7">
        <f>SUM(G51:G52)</f>
        <v>0</v>
      </c>
      <c r="H53" s="79"/>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workbookViewId="0"/>
  </sheetViews>
  <sheetFormatPr defaultRowHeight="15" x14ac:dyDescent="0.25"/>
  <cols>
    <col min="2" max="2" width="20.28515625" customWidth="1"/>
    <col min="3" max="3" width="14.28515625" customWidth="1"/>
    <col min="4" max="4" width="13.7109375" customWidth="1"/>
  </cols>
  <sheetData>
    <row r="1" spans="1:4" s="128" customFormat="1" ht="16.5" customHeight="1" x14ac:dyDescent="0.25">
      <c r="A1" s="127">
        <v>9</v>
      </c>
      <c r="B1" s="128" t="s">
        <v>742</v>
      </c>
    </row>
    <row r="3" spans="1:4" x14ac:dyDescent="0.25">
      <c r="B3" t="s">
        <v>76</v>
      </c>
    </row>
    <row r="4" spans="1:4" x14ac:dyDescent="0.25">
      <c r="B4" s="45" t="s">
        <v>862</v>
      </c>
      <c r="C4" s="58" t="s">
        <v>755</v>
      </c>
      <c r="D4" s="61" t="s">
        <v>748</v>
      </c>
    </row>
    <row r="5" spans="1:4" x14ac:dyDescent="0.25">
      <c r="B5" s="20" t="s">
        <v>749</v>
      </c>
      <c r="C5" s="5">
        <f>COUNTIF(Data!DT:DT,"Yes")</f>
        <v>0</v>
      </c>
      <c r="D5" s="6" t="e">
        <f>C5/C7</f>
        <v>#DIV/0!</v>
      </c>
    </row>
    <row r="6" spans="1:4" x14ac:dyDescent="0.25">
      <c r="B6" s="21" t="s">
        <v>750</v>
      </c>
      <c r="C6" s="14">
        <f>COUNTIF(Data!DT:DT,"No")</f>
        <v>0</v>
      </c>
      <c r="D6" s="15" t="e">
        <f>C6/C7</f>
        <v>#DIV/0!</v>
      </c>
    </row>
    <row r="7" spans="1:4" x14ac:dyDescent="0.25">
      <c r="B7" s="59" t="s">
        <v>751</v>
      </c>
      <c r="C7" s="14">
        <f>SUM(C5:C6)</f>
        <v>0</v>
      </c>
      <c r="D7" s="15" t="e">
        <f>SUM(D5:D6)</f>
        <v>#DIV/0!</v>
      </c>
    </row>
    <row r="9" spans="1:4" x14ac:dyDescent="0.25">
      <c r="B9" t="s">
        <v>77</v>
      </c>
    </row>
    <row r="10" spans="1:4" x14ac:dyDescent="0.25">
      <c r="B10" s="45" t="s">
        <v>862</v>
      </c>
      <c r="C10" s="58" t="s">
        <v>755</v>
      </c>
      <c r="D10" s="61" t="s">
        <v>748</v>
      </c>
    </row>
    <row r="11" spans="1:4" x14ac:dyDescent="0.25">
      <c r="B11" s="20" t="s">
        <v>749</v>
      </c>
      <c r="C11" s="5">
        <f>COUNTIF(Data!DU:DU,"Yes")</f>
        <v>0</v>
      </c>
      <c r="D11" s="6" t="e">
        <f>C11/C13</f>
        <v>#DIV/0!</v>
      </c>
    </row>
    <row r="12" spans="1:4" x14ac:dyDescent="0.25">
      <c r="B12" s="21" t="s">
        <v>750</v>
      </c>
      <c r="C12" s="14">
        <f>COUNTIF(Data!DU:DU,"No")</f>
        <v>0</v>
      </c>
      <c r="D12" s="15" t="e">
        <f>C12/C13</f>
        <v>#DIV/0!</v>
      </c>
    </row>
    <row r="13" spans="1:4" x14ac:dyDescent="0.25">
      <c r="B13" s="59" t="s">
        <v>751</v>
      </c>
      <c r="C13" s="14">
        <f>SUM(C11:C12)</f>
        <v>0</v>
      </c>
      <c r="D13" s="15" t="e">
        <f>SUM(D11:D12)</f>
        <v>#DIV/0!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1"/>
  <sheetViews>
    <sheetView workbookViewId="0"/>
  </sheetViews>
  <sheetFormatPr defaultRowHeight="15" x14ac:dyDescent="0.25"/>
  <cols>
    <col min="2" max="2" width="28.5703125" customWidth="1"/>
    <col min="3" max="3" width="14.28515625" customWidth="1"/>
    <col min="4" max="4" width="14.42578125" customWidth="1"/>
  </cols>
  <sheetData>
    <row r="1" spans="1:4" s="128" customFormat="1" ht="16.5" customHeight="1" x14ac:dyDescent="0.25">
      <c r="A1" s="127">
        <v>10</v>
      </c>
      <c r="B1" s="128" t="s">
        <v>737</v>
      </c>
    </row>
    <row r="3" spans="1:4" x14ac:dyDescent="0.25">
      <c r="B3" t="s">
        <v>78</v>
      </c>
    </row>
    <row r="4" spans="1:4" x14ac:dyDescent="0.25">
      <c r="B4" s="10" t="s">
        <v>876</v>
      </c>
      <c r="C4" s="11" t="s">
        <v>755</v>
      </c>
      <c r="D4" s="12" t="s">
        <v>874</v>
      </c>
    </row>
    <row r="5" spans="1:4" x14ac:dyDescent="0.25">
      <c r="B5" s="4" t="s">
        <v>863</v>
      </c>
      <c r="C5" s="5">
        <f>COUNTIF(Data!DV:DV,"*Knives*")</f>
        <v>0</v>
      </c>
      <c r="D5" s="6" t="e">
        <f>C5/C17</f>
        <v>#DIV/0!</v>
      </c>
    </row>
    <row r="6" spans="1:4" x14ac:dyDescent="0.25">
      <c r="B6" s="4" t="s">
        <v>864</v>
      </c>
      <c r="C6" s="5">
        <f>COUNTIF(Data!DV:DV,"*Wash_Basin*")</f>
        <v>0</v>
      </c>
      <c r="D6" s="6" t="e">
        <f>C6/C17</f>
        <v>#DIV/0!</v>
      </c>
    </row>
    <row r="7" spans="1:4" x14ac:dyDescent="0.25">
      <c r="B7" s="4" t="s">
        <v>865</v>
      </c>
      <c r="C7" s="5">
        <f>COUNTIF(Data!DV:DV,"*Mat*")</f>
        <v>0</v>
      </c>
      <c r="D7" s="6" t="e">
        <f>C7/C17</f>
        <v>#DIV/0!</v>
      </c>
    </row>
    <row r="8" spans="1:4" x14ac:dyDescent="0.25">
      <c r="B8" s="4" t="s">
        <v>866</v>
      </c>
      <c r="C8" s="5">
        <f>COUNTIF(Data!DV:DV,"*Cooking_pots*")</f>
        <v>0</v>
      </c>
      <c r="D8" s="6" t="e">
        <f>C8/C17</f>
        <v>#DIV/0!</v>
      </c>
    </row>
    <row r="9" spans="1:4" x14ac:dyDescent="0.25">
      <c r="B9" s="4" t="s">
        <v>867</v>
      </c>
      <c r="C9" s="5">
        <f>COUNTIF(Data!DV:DV,"*Blanket*")</f>
        <v>0</v>
      </c>
      <c r="D9" s="6" t="e">
        <f>C9/C17</f>
        <v>#DIV/0!</v>
      </c>
    </row>
    <row r="10" spans="1:4" x14ac:dyDescent="0.25">
      <c r="B10" s="4" t="s">
        <v>868</v>
      </c>
      <c r="C10" s="5">
        <f>COUNTIF(Data!DV:DV,"*Animal(s)*")</f>
        <v>0</v>
      </c>
      <c r="D10" s="6" t="e">
        <f>C10/C17</f>
        <v>#DIV/0!</v>
      </c>
    </row>
    <row r="11" spans="1:4" x14ac:dyDescent="0.25">
      <c r="B11" s="4" t="s">
        <v>869</v>
      </c>
      <c r="C11" s="5">
        <f>COUNTIF(Data!DV:DV,"*Jerry_cans*")</f>
        <v>0</v>
      </c>
      <c r="D11" s="6" t="e">
        <f>C11/C17</f>
        <v>#DIV/0!</v>
      </c>
    </row>
    <row r="12" spans="1:4" x14ac:dyDescent="0.25">
      <c r="B12" s="4" t="s">
        <v>870</v>
      </c>
      <c r="C12" s="5">
        <f>COUNTIF(Data!DV:DV,"*Tools*")</f>
        <v>0</v>
      </c>
      <c r="D12" s="6" t="e">
        <f>C12/C17</f>
        <v>#DIV/0!</v>
      </c>
    </row>
    <row r="13" spans="1:4" x14ac:dyDescent="0.25">
      <c r="B13" s="4" t="s">
        <v>871</v>
      </c>
      <c r="C13" s="5">
        <f>COUNTIF(Data!DV:DV,"*Tent*")</f>
        <v>0</v>
      </c>
      <c r="D13" s="6" t="e">
        <f>C13/C17</f>
        <v>#DIV/0!</v>
      </c>
    </row>
    <row r="14" spans="1:4" x14ac:dyDescent="0.25">
      <c r="B14" s="4" t="s">
        <v>872</v>
      </c>
      <c r="C14" s="5">
        <f>COUNTIF(Data!DV:DV,"*Plastic_sheets*")</f>
        <v>0</v>
      </c>
      <c r="D14" s="6" t="e">
        <f>C14/C17</f>
        <v>#DIV/0!</v>
      </c>
    </row>
    <row r="15" spans="1:4" x14ac:dyDescent="0.25">
      <c r="B15" s="4" t="s">
        <v>873</v>
      </c>
      <c r="C15" s="5">
        <f>COUNTIF(Data!DV:DV,"*Iron_sheets*")</f>
        <v>0</v>
      </c>
      <c r="D15" s="6" t="e">
        <f>C15/C17</f>
        <v>#DIV/0!</v>
      </c>
    </row>
    <row r="16" spans="1:4" x14ac:dyDescent="0.25">
      <c r="B16" s="4" t="s">
        <v>770</v>
      </c>
      <c r="C16" s="5">
        <f>COUNTIF(Data!DV:DV,"*Other*")</f>
        <v>0</v>
      </c>
      <c r="D16" s="6" t="e">
        <f>C16/C17</f>
        <v>#DIV/0!</v>
      </c>
    </row>
    <row r="17" spans="2:4" x14ac:dyDescent="0.25">
      <c r="B17" s="66" t="s">
        <v>812</v>
      </c>
      <c r="C17" s="8">
        <f>SUM(C6:C15)</f>
        <v>0</v>
      </c>
      <c r="D17" s="9" t="e">
        <f>SUM(D6:D15)</f>
        <v>#DIV/0!</v>
      </c>
    </row>
    <row r="18" spans="2:4" x14ac:dyDescent="0.25">
      <c r="B18" s="67" t="s">
        <v>813</v>
      </c>
      <c r="C18" s="66" t="s">
        <v>875</v>
      </c>
      <c r="D18" s="25"/>
    </row>
    <row r="20" spans="2:4" x14ac:dyDescent="0.25">
      <c r="B20" t="s">
        <v>80</v>
      </c>
    </row>
    <row r="21" spans="2:4" x14ac:dyDescent="0.25">
      <c r="B21" s="10" t="s">
        <v>878</v>
      </c>
      <c r="C21" s="11" t="s">
        <v>755</v>
      </c>
      <c r="D21" s="12" t="s">
        <v>877</v>
      </c>
    </row>
    <row r="22" spans="2:4" x14ac:dyDescent="0.25">
      <c r="B22" s="24" t="s">
        <v>806</v>
      </c>
      <c r="C22" s="5">
        <f>COUNTIFS(Data!DX:DX,"&gt;=1",Data!DX:DX,"&lt;=2")</f>
        <v>0</v>
      </c>
      <c r="D22" s="6" t="e">
        <f>C22/C25</f>
        <v>#DIV/0!</v>
      </c>
    </row>
    <row r="23" spans="2:4" x14ac:dyDescent="0.25">
      <c r="B23" s="24" t="s">
        <v>1329</v>
      </c>
      <c r="C23" s="5">
        <f>COUNTIFS(Data!DX:DX,"&gt;2",Data!DX:DX,"&lt;=4")</f>
        <v>0</v>
      </c>
      <c r="D23" s="6" t="e">
        <f>C23/C25</f>
        <v>#DIV/0!</v>
      </c>
    </row>
    <row r="24" spans="2:4" x14ac:dyDescent="0.25">
      <c r="B24" s="13" t="s">
        <v>1330</v>
      </c>
      <c r="C24" s="14">
        <f>COUNTIFS(Data!DX:DX,"&gt;4")</f>
        <v>0</v>
      </c>
      <c r="D24" s="15" t="e">
        <f>C24/C25</f>
        <v>#DIV/0!</v>
      </c>
    </row>
    <row r="25" spans="2:4" x14ac:dyDescent="0.25">
      <c r="B25" s="16" t="s">
        <v>751</v>
      </c>
      <c r="C25" s="68">
        <f>SUM(C22:C24)</f>
        <v>0</v>
      </c>
      <c r="D25" s="15" t="e">
        <f>SUM(D22:D24)</f>
        <v>#DIV/0!</v>
      </c>
    </row>
    <row r="26" spans="2:4" x14ac:dyDescent="0.25">
      <c r="B26" s="16" t="s">
        <v>756</v>
      </c>
      <c r="C26" s="69" t="e">
        <f>AVERAGE(Data!DX:DX)</f>
        <v>#DIV/0!</v>
      </c>
      <c r="D26" s="25"/>
    </row>
    <row r="28" spans="2:4" x14ac:dyDescent="0.25">
      <c r="B28" t="s">
        <v>81</v>
      </c>
    </row>
    <row r="29" spans="2:4" x14ac:dyDescent="0.25">
      <c r="B29" s="10" t="s">
        <v>879</v>
      </c>
      <c r="C29" s="70" t="s">
        <v>755</v>
      </c>
      <c r="D29" s="12" t="s">
        <v>748</v>
      </c>
    </row>
    <row r="30" spans="2:4" x14ac:dyDescent="0.25">
      <c r="B30" s="20" t="s">
        <v>880</v>
      </c>
      <c r="C30" s="65">
        <f>COUNTIF(Data!DY:DY,"Very_Poor")</f>
        <v>0</v>
      </c>
      <c r="D30" s="6" t="e">
        <f>C30/C35</f>
        <v>#DIV/0!</v>
      </c>
    </row>
    <row r="31" spans="2:4" x14ac:dyDescent="0.25">
      <c r="B31" s="20" t="s">
        <v>881</v>
      </c>
      <c r="C31" s="65">
        <f>COUNTIF(Data!DY:DY,"Poor")</f>
        <v>0</v>
      </c>
      <c r="D31" s="6" t="e">
        <f>C31/C35</f>
        <v>#DIV/0!</v>
      </c>
    </row>
    <row r="32" spans="2:4" x14ac:dyDescent="0.25">
      <c r="B32" s="20" t="s">
        <v>756</v>
      </c>
      <c r="C32" s="65">
        <f>COUNTIF(Data!DY:DY,"Average")</f>
        <v>0</v>
      </c>
      <c r="D32" s="6" t="e">
        <f>C32/C35</f>
        <v>#DIV/0!</v>
      </c>
    </row>
    <row r="33" spans="2:4" x14ac:dyDescent="0.25">
      <c r="B33" s="20" t="s">
        <v>882</v>
      </c>
      <c r="C33" s="65">
        <f>COUNTIF(Data!DY:DY,"Good")</f>
        <v>0</v>
      </c>
      <c r="D33" s="6" t="e">
        <f>C33/C35</f>
        <v>#DIV/0!</v>
      </c>
    </row>
    <row r="34" spans="2:4" x14ac:dyDescent="0.25">
      <c r="B34" s="21" t="s">
        <v>883</v>
      </c>
      <c r="C34" s="22">
        <f>COUNTIF(Data!DY:DY,"Very_Good")</f>
        <v>0</v>
      </c>
      <c r="D34" s="15" t="e">
        <f>C34/C35</f>
        <v>#DIV/0!</v>
      </c>
    </row>
    <row r="35" spans="2:4" x14ac:dyDescent="0.25">
      <c r="B35" s="21" t="s">
        <v>751</v>
      </c>
      <c r="C35" s="22">
        <f>SUM(C30:C34)</f>
        <v>0</v>
      </c>
      <c r="D35" s="15" t="e">
        <f>SUM(D30:D34)</f>
        <v>#DIV/0!</v>
      </c>
    </row>
    <row r="37" spans="2:4" x14ac:dyDescent="0.25">
      <c r="B37" t="s">
        <v>82</v>
      </c>
    </row>
    <row r="38" spans="2:4" x14ac:dyDescent="0.25">
      <c r="B38" s="10" t="s">
        <v>884</v>
      </c>
      <c r="C38" s="11" t="s">
        <v>755</v>
      </c>
      <c r="D38" s="12" t="s">
        <v>748</v>
      </c>
    </row>
    <row r="39" spans="2:4" x14ac:dyDescent="0.25">
      <c r="B39" s="20" t="s">
        <v>885</v>
      </c>
      <c r="C39" s="65">
        <f>COUNTIF(Data!DZ:DZ,"Not_useful_at_all")</f>
        <v>0</v>
      </c>
      <c r="D39" s="6" t="e">
        <f>C39/C44</f>
        <v>#DIV/0!</v>
      </c>
    </row>
    <row r="40" spans="2:4" x14ac:dyDescent="0.25">
      <c r="B40" s="20" t="s">
        <v>886</v>
      </c>
      <c r="C40" s="65">
        <f>COUNTIF(Data!DZ:DZ,"Not_so_useful")</f>
        <v>0</v>
      </c>
      <c r="D40" s="6" t="e">
        <f>C40/C44</f>
        <v>#DIV/0!</v>
      </c>
    </row>
    <row r="41" spans="2:4" x14ac:dyDescent="0.25">
      <c r="B41" s="20" t="s">
        <v>756</v>
      </c>
      <c r="C41" s="65">
        <f>COUNTIF(Data!DZ:DZ,"Average")</f>
        <v>0</v>
      </c>
      <c r="D41" s="6" t="e">
        <f>C41/C44</f>
        <v>#DIV/0!</v>
      </c>
    </row>
    <row r="42" spans="2:4" x14ac:dyDescent="0.25">
      <c r="B42" s="20" t="s">
        <v>887</v>
      </c>
      <c r="C42" s="65">
        <f>COUNTIF(Data!DZ:DZ,"Useful")</f>
        <v>0</v>
      </c>
      <c r="D42" s="6" t="e">
        <f>C42/C44</f>
        <v>#DIV/0!</v>
      </c>
    </row>
    <row r="43" spans="2:4" x14ac:dyDescent="0.25">
      <c r="B43" s="20" t="s">
        <v>888</v>
      </c>
      <c r="C43" s="65">
        <f>COUNTIF(Data!DZ:DZ,"Very_useful")</f>
        <v>0</v>
      </c>
      <c r="D43" s="6" t="e">
        <f>C43/C44</f>
        <v>#DIV/0!</v>
      </c>
    </row>
    <row r="44" spans="2:4" x14ac:dyDescent="0.25">
      <c r="B44" s="67" t="s">
        <v>751</v>
      </c>
      <c r="C44" s="8">
        <f>SUM(C39:C43)</f>
        <v>0</v>
      </c>
      <c r="D44" s="9" t="e">
        <f>SUM(D39:D43)</f>
        <v>#DIV/0!</v>
      </c>
    </row>
    <row r="46" spans="2:4" x14ac:dyDescent="0.25">
      <c r="B46" t="s">
        <v>85</v>
      </c>
    </row>
    <row r="47" spans="2:4" x14ac:dyDescent="0.25">
      <c r="B47" s="10" t="s">
        <v>889</v>
      </c>
      <c r="C47" s="11" t="s">
        <v>755</v>
      </c>
      <c r="D47" s="12" t="s">
        <v>877</v>
      </c>
    </row>
    <row r="48" spans="2:4" x14ac:dyDescent="0.25">
      <c r="B48" s="24" t="s">
        <v>806</v>
      </c>
      <c r="C48" s="5">
        <f>COUNTIFS(Data!EC:EC,"&gt;=1",Data!EC:EC,"&lt;=2")</f>
        <v>0</v>
      </c>
      <c r="D48" s="6" t="e">
        <f>C48/C51</f>
        <v>#DIV/0!</v>
      </c>
    </row>
    <row r="49" spans="2:4" x14ac:dyDescent="0.25">
      <c r="B49" s="24" t="s">
        <v>1329</v>
      </c>
      <c r="C49" s="5">
        <f>COUNTIFS(Data!EC:EC,"&gt;2",Data!EC:EC,"&lt;=4")</f>
        <v>0</v>
      </c>
      <c r="D49" s="6" t="e">
        <f>C49/C51</f>
        <v>#DIV/0!</v>
      </c>
    </row>
    <row r="50" spans="2:4" x14ac:dyDescent="0.25">
      <c r="B50" s="13" t="s">
        <v>1330</v>
      </c>
      <c r="C50" s="14">
        <f>COUNTIFS(Data!EC:EC,"&gt;4")</f>
        <v>0</v>
      </c>
      <c r="D50" s="15" t="e">
        <f>C50/C51</f>
        <v>#DIV/0!</v>
      </c>
    </row>
    <row r="51" spans="2:4" x14ac:dyDescent="0.25">
      <c r="B51" s="16" t="s">
        <v>751</v>
      </c>
      <c r="C51" s="68">
        <f>SUM(C48:C50)</f>
        <v>0</v>
      </c>
      <c r="D51" s="15" t="e">
        <f>SUM(D48:D50)</f>
        <v>#DIV/0!</v>
      </c>
    </row>
    <row r="52" spans="2:4" x14ac:dyDescent="0.25">
      <c r="B52" s="16" t="s">
        <v>756</v>
      </c>
      <c r="C52" s="69" t="e">
        <f>AVERAGE(Data!EC:EC)</f>
        <v>#DIV/0!</v>
      </c>
      <c r="D52" s="25"/>
    </row>
    <row r="54" spans="2:4" x14ac:dyDescent="0.25">
      <c r="B54" t="s">
        <v>81</v>
      </c>
    </row>
    <row r="55" spans="2:4" x14ac:dyDescent="0.25">
      <c r="B55" s="10" t="s">
        <v>879</v>
      </c>
      <c r="C55" s="70" t="s">
        <v>755</v>
      </c>
      <c r="D55" s="12" t="s">
        <v>748</v>
      </c>
    </row>
    <row r="56" spans="2:4" x14ac:dyDescent="0.25">
      <c r="B56" s="20" t="s">
        <v>880</v>
      </c>
      <c r="C56" s="65">
        <f>COUNTIF(Data!ED:ED,"Very_Poor")</f>
        <v>0</v>
      </c>
      <c r="D56" s="6" t="e">
        <f>C56/C61</f>
        <v>#DIV/0!</v>
      </c>
    </row>
    <row r="57" spans="2:4" x14ac:dyDescent="0.25">
      <c r="B57" s="20" t="s">
        <v>881</v>
      </c>
      <c r="C57" s="65">
        <f>COUNTIF(Data!ED:ED,"Poor")</f>
        <v>0</v>
      </c>
      <c r="D57" s="6" t="e">
        <f>C57/C61</f>
        <v>#DIV/0!</v>
      </c>
    </row>
    <row r="58" spans="2:4" x14ac:dyDescent="0.25">
      <c r="B58" s="20" t="s">
        <v>756</v>
      </c>
      <c r="C58" s="65">
        <f>COUNTIF(Data!ED:ED,"Average")</f>
        <v>0</v>
      </c>
      <c r="D58" s="6" t="e">
        <f>C58/C61</f>
        <v>#DIV/0!</v>
      </c>
    </row>
    <row r="59" spans="2:4" x14ac:dyDescent="0.25">
      <c r="B59" s="20" t="s">
        <v>882</v>
      </c>
      <c r="C59" s="65">
        <f>COUNTIF(Data!ED:ED,"Good")</f>
        <v>0</v>
      </c>
      <c r="D59" s="6" t="e">
        <f>C59/C61</f>
        <v>#DIV/0!</v>
      </c>
    </row>
    <row r="60" spans="2:4" x14ac:dyDescent="0.25">
      <c r="B60" s="21" t="s">
        <v>883</v>
      </c>
      <c r="C60" s="22">
        <f>COUNTIF(Data!ED:ED,"Very_Good")</f>
        <v>0</v>
      </c>
      <c r="D60" s="15" t="e">
        <f>C60/C61</f>
        <v>#DIV/0!</v>
      </c>
    </row>
    <row r="61" spans="2:4" x14ac:dyDescent="0.25">
      <c r="B61" s="21" t="s">
        <v>751</v>
      </c>
      <c r="C61" s="22">
        <f>SUM(C56:C60)</f>
        <v>0</v>
      </c>
      <c r="D61" s="15" t="e">
        <f>SUM(D56:D60)</f>
        <v>#DIV/0!</v>
      </c>
    </row>
    <row r="63" spans="2:4" x14ac:dyDescent="0.25">
      <c r="B63" t="s">
        <v>86</v>
      </c>
    </row>
    <row r="64" spans="2:4" x14ac:dyDescent="0.25">
      <c r="B64" s="10" t="s">
        <v>884</v>
      </c>
      <c r="C64" s="11" t="s">
        <v>755</v>
      </c>
      <c r="D64" s="12" t="s">
        <v>748</v>
      </c>
    </row>
    <row r="65" spans="2:4" x14ac:dyDescent="0.25">
      <c r="B65" s="20" t="s">
        <v>885</v>
      </c>
      <c r="C65" s="65">
        <f>COUNTIF(Data!EE:EE,"Not_useful_at_all")</f>
        <v>0</v>
      </c>
      <c r="D65" s="6" t="e">
        <f>C65/C70</f>
        <v>#DIV/0!</v>
      </c>
    </row>
    <row r="66" spans="2:4" x14ac:dyDescent="0.25">
      <c r="B66" s="20" t="s">
        <v>886</v>
      </c>
      <c r="C66" s="65">
        <f>COUNTIF(Data!EE:EE,"Not_so_useful")</f>
        <v>0</v>
      </c>
      <c r="D66" s="6" t="e">
        <f>C66/C70</f>
        <v>#DIV/0!</v>
      </c>
    </row>
    <row r="67" spans="2:4" x14ac:dyDescent="0.25">
      <c r="B67" s="20" t="s">
        <v>756</v>
      </c>
      <c r="C67" s="65">
        <f>COUNTIF(Data!EE:EE,"Average")</f>
        <v>0</v>
      </c>
      <c r="D67" s="6" t="e">
        <f>C67/C70</f>
        <v>#DIV/0!</v>
      </c>
    </row>
    <row r="68" spans="2:4" x14ac:dyDescent="0.25">
      <c r="B68" s="20" t="s">
        <v>887</v>
      </c>
      <c r="C68" s="65">
        <f>COUNTIF(Data!EE:EE,"Useful")</f>
        <v>0</v>
      </c>
      <c r="D68" s="6" t="e">
        <f>C68/C70</f>
        <v>#DIV/0!</v>
      </c>
    </row>
    <row r="69" spans="2:4" x14ac:dyDescent="0.25">
      <c r="B69" s="20" t="s">
        <v>888</v>
      </c>
      <c r="C69" s="65">
        <f>COUNTIF(Data!EE:EE,"Very_useful")</f>
        <v>0</v>
      </c>
      <c r="D69" s="6" t="e">
        <f>C69/C70</f>
        <v>#DIV/0!</v>
      </c>
    </row>
    <row r="70" spans="2:4" x14ac:dyDescent="0.25">
      <c r="B70" s="67" t="s">
        <v>751</v>
      </c>
      <c r="C70" s="8">
        <f>SUM(C65:C69)</f>
        <v>0</v>
      </c>
      <c r="D70" s="9" t="e">
        <f>SUM(D65:D69)</f>
        <v>#DIV/0!</v>
      </c>
    </row>
    <row r="72" spans="2:4" x14ac:dyDescent="0.25">
      <c r="B72" t="s">
        <v>88</v>
      </c>
    </row>
    <row r="73" spans="2:4" x14ac:dyDescent="0.25">
      <c r="B73" s="10" t="s">
        <v>890</v>
      </c>
      <c r="C73" s="11" t="s">
        <v>755</v>
      </c>
      <c r="D73" s="12" t="s">
        <v>877</v>
      </c>
    </row>
    <row r="74" spans="2:4" x14ac:dyDescent="0.25">
      <c r="B74" s="24" t="s">
        <v>806</v>
      </c>
      <c r="C74" s="5">
        <f>COUNTIFS(Data!EH:EH,"&gt;=1",Data!EH:EH,"&lt;=2")</f>
        <v>0</v>
      </c>
      <c r="D74" s="6" t="e">
        <f>C74/C77</f>
        <v>#DIV/0!</v>
      </c>
    </row>
    <row r="75" spans="2:4" x14ac:dyDescent="0.25">
      <c r="B75" s="24" t="s">
        <v>1329</v>
      </c>
      <c r="C75" s="5">
        <f>COUNTIFS(Data!EH:EH,"&gt;2",Data!EH:EH,"&lt;=4")</f>
        <v>0</v>
      </c>
      <c r="D75" s="6" t="e">
        <f>C75/C77</f>
        <v>#DIV/0!</v>
      </c>
    </row>
    <row r="76" spans="2:4" x14ac:dyDescent="0.25">
      <c r="B76" s="13" t="s">
        <v>1330</v>
      </c>
      <c r="C76" s="14">
        <f>COUNTIFS(Data!EH:EH,"&gt;4")</f>
        <v>0</v>
      </c>
      <c r="D76" s="15" t="e">
        <f>C76/C77</f>
        <v>#DIV/0!</v>
      </c>
    </row>
    <row r="77" spans="2:4" x14ac:dyDescent="0.25">
      <c r="B77" s="16" t="s">
        <v>751</v>
      </c>
      <c r="C77" s="68">
        <f>SUM(C74:C76)</f>
        <v>0</v>
      </c>
      <c r="D77" s="15" t="e">
        <f>SUM(D74:D76)</f>
        <v>#DIV/0!</v>
      </c>
    </row>
    <row r="78" spans="2:4" x14ac:dyDescent="0.25">
      <c r="B78" s="16" t="s">
        <v>756</v>
      </c>
      <c r="C78" s="69" t="e">
        <f>AVERAGE(Data!EH:EH)</f>
        <v>#DIV/0!</v>
      </c>
      <c r="D78" s="25"/>
    </row>
    <row r="80" spans="2:4" x14ac:dyDescent="0.25">
      <c r="B80" t="s">
        <v>81</v>
      </c>
    </row>
    <row r="81" spans="2:4" x14ac:dyDescent="0.25">
      <c r="B81" s="10" t="s">
        <v>891</v>
      </c>
      <c r="C81" s="70" t="s">
        <v>755</v>
      </c>
      <c r="D81" s="12" t="s">
        <v>748</v>
      </c>
    </row>
    <row r="82" spans="2:4" x14ac:dyDescent="0.25">
      <c r="B82" s="20" t="s">
        <v>880</v>
      </c>
      <c r="C82" s="65">
        <f>COUNTIF(Data!EI:EI,"Very_Poor")</f>
        <v>0</v>
      </c>
      <c r="D82" s="6" t="e">
        <f>C82/C87</f>
        <v>#DIV/0!</v>
      </c>
    </row>
    <row r="83" spans="2:4" x14ac:dyDescent="0.25">
      <c r="B83" s="20" t="s">
        <v>881</v>
      </c>
      <c r="C83" s="65">
        <f>COUNTIF(Data!EI:EI,"Poor")</f>
        <v>0</v>
      </c>
      <c r="D83" s="6" t="e">
        <f>C83/C87</f>
        <v>#DIV/0!</v>
      </c>
    </row>
    <row r="84" spans="2:4" x14ac:dyDescent="0.25">
      <c r="B84" s="20" t="s">
        <v>756</v>
      </c>
      <c r="C84" s="65">
        <f>COUNTIF(Data!EI:EI,"Average")</f>
        <v>0</v>
      </c>
      <c r="D84" s="6" t="e">
        <f>C84/C87</f>
        <v>#DIV/0!</v>
      </c>
    </row>
    <row r="85" spans="2:4" x14ac:dyDescent="0.25">
      <c r="B85" s="20" t="s">
        <v>882</v>
      </c>
      <c r="C85" s="65">
        <f>COUNTIF(Data!EI:EI,"Good")</f>
        <v>0</v>
      </c>
      <c r="D85" s="6" t="e">
        <f>C85/C87</f>
        <v>#DIV/0!</v>
      </c>
    </row>
    <row r="86" spans="2:4" x14ac:dyDescent="0.25">
      <c r="B86" s="21" t="s">
        <v>883</v>
      </c>
      <c r="C86" s="22">
        <f>COUNTIF(Data!EI:EI,"Very_Good")</f>
        <v>0</v>
      </c>
      <c r="D86" s="15" t="e">
        <f>C86/C87</f>
        <v>#DIV/0!</v>
      </c>
    </row>
    <row r="87" spans="2:4" x14ac:dyDescent="0.25">
      <c r="B87" s="21" t="s">
        <v>751</v>
      </c>
      <c r="C87" s="22">
        <f>SUM(C82:C86)</f>
        <v>0</v>
      </c>
      <c r="D87" s="15" t="e">
        <f>SUM(D82:D86)</f>
        <v>#DIV/0!</v>
      </c>
    </row>
    <row r="89" spans="2:4" x14ac:dyDescent="0.25">
      <c r="B89" t="s">
        <v>86</v>
      </c>
    </row>
    <row r="90" spans="2:4" x14ac:dyDescent="0.25">
      <c r="B90" s="10" t="s">
        <v>892</v>
      </c>
      <c r="C90" s="11" t="s">
        <v>755</v>
      </c>
      <c r="D90" s="12" t="s">
        <v>748</v>
      </c>
    </row>
    <row r="91" spans="2:4" x14ac:dyDescent="0.25">
      <c r="B91" s="20" t="s">
        <v>885</v>
      </c>
      <c r="C91" s="65">
        <f>COUNTIF(Data!EJ:EJ,"Not_useful_at_all")</f>
        <v>0</v>
      </c>
      <c r="D91" s="6" t="e">
        <f>C91/C96</f>
        <v>#DIV/0!</v>
      </c>
    </row>
    <row r="92" spans="2:4" x14ac:dyDescent="0.25">
      <c r="B92" s="20" t="s">
        <v>886</v>
      </c>
      <c r="C92" s="65">
        <f>COUNTIF(Data!EJ:EJ,"Not_so_useful")</f>
        <v>0</v>
      </c>
      <c r="D92" s="6" t="e">
        <f>C92/C96</f>
        <v>#DIV/0!</v>
      </c>
    </row>
    <row r="93" spans="2:4" x14ac:dyDescent="0.25">
      <c r="B93" s="20" t="s">
        <v>756</v>
      </c>
      <c r="C93" s="65">
        <f>COUNTIF(Data!EJ:EJ,"Average")</f>
        <v>0</v>
      </c>
      <c r="D93" s="6" t="e">
        <f>C93/C96</f>
        <v>#DIV/0!</v>
      </c>
    </row>
    <row r="94" spans="2:4" x14ac:dyDescent="0.25">
      <c r="B94" s="20" t="s">
        <v>887</v>
      </c>
      <c r="C94" s="65">
        <f>COUNTIF(Data!EJ:EJ,"Useful")</f>
        <v>0</v>
      </c>
      <c r="D94" s="6" t="e">
        <f>C94/C96</f>
        <v>#DIV/0!</v>
      </c>
    </row>
    <row r="95" spans="2:4" x14ac:dyDescent="0.25">
      <c r="B95" s="20" t="s">
        <v>888</v>
      </c>
      <c r="C95" s="65">
        <f>COUNTIF(Data!EJ:EJ,"Very_useful")</f>
        <v>0</v>
      </c>
      <c r="D95" s="6" t="e">
        <f>C95/C96</f>
        <v>#DIV/0!</v>
      </c>
    </row>
    <row r="96" spans="2:4" x14ac:dyDescent="0.25">
      <c r="B96" s="67" t="s">
        <v>751</v>
      </c>
      <c r="C96" s="8">
        <f>SUM(C91:C95)</f>
        <v>0</v>
      </c>
      <c r="D96" s="9" t="e">
        <f>SUM(D91:D95)</f>
        <v>#DIV/0!</v>
      </c>
    </row>
    <row r="98" spans="2:4" x14ac:dyDescent="0.25">
      <c r="B98" t="s">
        <v>90</v>
      </c>
    </row>
    <row r="99" spans="2:4" x14ac:dyDescent="0.25">
      <c r="B99" s="10" t="s">
        <v>893</v>
      </c>
      <c r="C99" s="11" t="s">
        <v>755</v>
      </c>
      <c r="D99" s="12" t="s">
        <v>877</v>
      </c>
    </row>
    <row r="100" spans="2:4" x14ac:dyDescent="0.25">
      <c r="B100" s="24" t="s">
        <v>806</v>
      </c>
      <c r="C100" s="5">
        <f>COUNTIFS(Data!EM:EM,"&gt;=1",Data!EM:EM,"&lt;=2")</f>
        <v>0</v>
      </c>
      <c r="D100" s="6" t="e">
        <f>C100/C103</f>
        <v>#DIV/0!</v>
      </c>
    </row>
    <row r="101" spans="2:4" x14ac:dyDescent="0.25">
      <c r="B101" s="24" t="s">
        <v>1329</v>
      </c>
      <c r="C101" s="5">
        <f>COUNTIFS(Data!EM:EM,"&gt;2",Data!EM:EM,"&lt;=4")</f>
        <v>0</v>
      </c>
      <c r="D101" s="6" t="e">
        <f>C101/C103</f>
        <v>#DIV/0!</v>
      </c>
    </row>
    <row r="102" spans="2:4" x14ac:dyDescent="0.25">
      <c r="B102" s="13" t="s">
        <v>1330</v>
      </c>
      <c r="C102" s="14">
        <f>COUNTIFS(Data!EM:EM,"&gt;4")</f>
        <v>0</v>
      </c>
      <c r="D102" s="15" t="e">
        <f>C102/C103</f>
        <v>#DIV/0!</v>
      </c>
    </row>
    <row r="103" spans="2:4" x14ac:dyDescent="0.25">
      <c r="B103" s="16" t="s">
        <v>751</v>
      </c>
      <c r="C103" s="68">
        <f>SUM(C100:C102)</f>
        <v>0</v>
      </c>
      <c r="D103" s="15" t="e">
        <f>SUM(D100:D102)</f>
        <v>#DIV/0!</v>
      </c>
    </row>
    <row r="104" spans="2:4" x14ac:dyDescent="0.25">
      <c r="B104" s="16" t="s">
        <v>756</v>
      </c>
      <c r="C104" s="69" t="e">
        <f>AVERAGE(Data!EM:EM)</f>
        <v>#DIV/0!</v>
      </c>
      <c r="D104" s="25"/>
    </row>
    <row r="106" spans="2:4" x14ac:dyDescent="0.25">
      <c r="B106" t="s">
        <v>81</v>
      </c>
    </row>
    <row r="107" spans="2:4" x14ac:dyDescent="0.25">
      <c r="B107" s="10" t="s">
        <v>891</v>
      </c>
      <c r="C107" s="70" t="s">
        <v>755</v>
      </c>
      <c r="D107" s="12" t="s">
        <v>748</v>
      </c>
    </row>
    <row r="108" spans="2:4" x14ac:dyDescent="0.25">
      <c r="B108" s="20" t="s">
        <v>880</v>
      </c>
      <c r="C108" s="65">
        <f>COUNTIF(Data!EN:EN,"Very_Poor")</f>
        <v>0</v>
      </c>
      <c r="D108" s="6" t="e">
        <f>C108/C113</f>
        <v>#DIV/0!</v>
      </c>
    </row>
    <row r="109" spans="2:4" x14ac:dyDescent="0.25">
      <c r="B109" s="20" t="s">
        <v>881</v>
      </c>
      <c r="C109" s="65">
        <f>COUNTIF(Data!EN:EN,"Poor")</f>
        <v>0</v>
      </c>
      <c r="D109" s="6" t="e">
        <f>C109/C113</f>
        <v>#DIV/0!</v>
      </c>
    </row>
    <row r="110" spans="2:4" x14ac:dyDescent="0.25">
      <c r="B110" s="20" t="s">
        <v>756</v>
      </c>
      <c r="C110" s="65">
        <f>COUNTIF(Data!EN:EN,"Average")</f>
        <v>0</v>
      </c>
      <c r="D110" s="6" t="e">
        <f>C110/C113</f>
        <v>#DIV/0!</v>
      </c>
    </row>
    <row r="111" spans="2:4" x14ac:dyDescent="0.25">
      <c r="B111" s="20" t="s">
        <v>882</v>
      </c>
      <c r="C111" s="65">
        <f>COUNTIF(Data!EN:EN,"Good")</f>
        <v>0</v>
      </c>
      <c r="D111" s="6" t="e">
        <f>C111/C113</f>
        <v>#DIV/0!</v>
      </c>
    </row>
    <row r="112" spans="2:4" x14ac:dyDescent="0.25">
      <c r="B112" s="21" t="s">
        <v>883</v>
      </c>
      <c r="C112" s="22">
        <f>COUNTIF(Data!EN:EN,"Very_Good")</f>
        <v>0</v>
      </c>
      <c r="D112" s="15" t="e">
        <f>C112/C113</f>
        <v>#DIV/0!</v>
      </c>
    </row>
    <row r="113" spans="2:4" x14ac:dyDescent="0.25">
      <c r="B113" s="21" t="s">
        <v>751</v>
      </c>
      <c r="C113" s="22">
        <f>SUM(C108:C112)</f>
        <v>0</v>
      </c>
      <c r="D113" s="15" t="e">
        <f>SUM(D108:D112)</f>
        <v>#DIV/0!</v>
      </c>
    </row>
    <row r="115" spans="2:4" x14ac:dyDescent="0.25">
      <c r="B115" t="s">
        <v>86</v>
      </c>
    </row>
    <row r="116" spans="2:4" x14ac:dyDescent="0.25">
      <c r="B116" s="10" t="s">
        <v>892</v>
      </c>
      <c r="C116" s="11" t="s">
        <v>755</v>
      </c>
      <c r="D116" s="12" t="s">
        <v>748</v>
      </c>
    </row>
    <row r="117" spans="2:4" x14ac:dyDescent="0.25">
      <c r="B117" s="20" t="s">
        <v>885</v>
      </c>
      <c r="C117" s="65">
        <f>COUNTIF(Data!EO:EO,"Not_useful_at_all")</f>
        <v>0</v>
      </c>
      <c r="D117" s="6" t="e">
        <f>C117/C122</f>
        <v>#DIV/0!</v>
      </c>
    </row>
    <row r="118" spans="2:4" x14ac:dyDescent="0.25">
      <c r="B118" s="20" t="s">
        <v>886</v>
      </c>
      <c r="C118" s="65">
        <f>COUNTIF(Data!EO:EO,"Not_so_useful")</f>
        <v>0</v>
      </c>
      <c r="D118" s="6" t="e">
        <f>C118/C122</f>
        <v>#DIV/0!</v>
      </c>
    </row>
    <row r="119" spans="2:4" x14ac:dyDescent="0.25">
      <c r="B119" s="20" t="s">
        <v>756</v>
      </c>
      <c r="C119" s="65">
        <f>COUNTIF(Data!EO:EO,"Average")</f>
        <v>0</v>
      </c>
      <c r="D119" s="6" t="e">
        <f>C119/C122</f>
        <v>#DIV/0!</v>
      </c>
    </row>
    <row r="120" spans="2:4" x14ac:dyDescent="0.25">
      <c r="B120" s="20" t="s">
        <v>887</v>
      </c>
      <c r="C120" s="65">
        <f>COUNTIF(Data!EO:EO,"Useful")</f>
        <v>0</v>
      </c>
      <c r="D120" s="6" t="e">
        <f>C120/C122</f>
        <v>#DIV/0!</v>
      </c>
    </row>
    <row r="121" spans="2:4" x14ac:dyDescent="0.25">
      <c r="B121" s="20" t="s">
        <v>888</v>
      </c>
      <c r="C121" s="65">
        <f>COUNTIF(Data!EO:EO,"Very_useful")</f>
        <v>0</v>
      </c>
      <c r="D121" s="6" t="e">
        <f>C121/C122</f>
        <v>#DIV/0!</v>
      </c>
    </row>
    <row r="122" spans="2:4" x14ac:dyDescent="0.25">
      <c r="B122" s="67" t="s">
        <v>751</v>
      </c>
      <c r="C122" s="8">
        <f>SUM(C117:C121)</f>
        <v>0</v>
      </c>
      <c r="D122" s="9" t="e">
        <f>SUM(D117:D121)</f>
        <v>#DIV/0!</v>
      </c>
    </row>
    <row r="124" spans="2:4" x14ac:dyDescent="0.25">
      <c r="B124" t="s">
        <v>92</v>
      </c>
    </row>
    <row r="125" spans="2:4" x14ac:dyDescent="0.25">
      <c r="B125" s="10" t="s">
        <v>894</v>
      </c>
      <c r="C125" s="11" t="s">
        <v>755</v>
      </c>
      <c r="D125" s="12" t="s">
        <v>877</v>
      </c>
    </row>
    <row r="126" spans="2:4" x14ac:dyDescent="0.25">
      <c r="B126" s="24" t="s">
        <v>806</v>
      </c>
      <c r="C126" s="5">
        <f>COUNTIFS(Data!ER:ER,"&gt;=1",Data!ER:ER,"&lt;=2")</f>
        <v>0</v>
      </c>
      <c r="D126" s="6" t="e">
        <f>C126/C129</f>
        <v>#DIV/0!</v>
      </c>
    </row>
    <row r="127" spans="2:4" x14ac:dyDescent="0.25">
      <c r="B127" s="24" t="s">
        <v>1329</v>
      </c>
      <c r="C127" s="5">
        <f>COUNTIFS(Data!ER:ER,"&gt;2",Data!ER:ER,"&lt;=4")</f>
        <v>0</v>
      </c>
      <c r="D127" s="6" t="e">
        <f>C127/C129</f>
        <v>#DIV/0!</v>
      </c>
    </row>
    <row r="128" spans="2:4" x14ac:dyDescent="0.25">
      <c r="B128" s="13" t="s">
        <v>1330</v>
      </c>
      <c r="C128" s="14">
        <f>COUNTIFS(Data!ER:ER,"&gt;4")</f>
        <v>0</v>
      </c>
      <c r="D128" s="15" t="e">
        <f>C128/C129</f>
        <v>#DIV/0!</v>
      </c>
    </row>
    <row r="129" spans="2:4" x14ac:dyDescent="0.25">
      <c r="B129" s="16" t="s">
        <v>751</v>
      </c>
      <c r="C129" s="68">
        <f>SUM(C126:C128)</f>
        <v>0</v>
      </c>
      <c r="D129" s="15" t="e">
        <f>SUM(D126:D128)</f>
        <v>#DIV/0!</v>
      </c>
    </row>
    <row r="130" spans="2:4" x14ac:dyDescent="0.25">
      <c r="B130" s="16" t="s">
        <v>756</v>
      </c>
      <c r="C130" s="69" t="e">
        <f>AVERAGE(Data!ER:ER)</f>
        <v>#DIV/0!</v>
      </c>
      <c r="D130" s="25"/>
    </row>
    <row r="132" spans="2:4" x14ac:dyDescent="0.25">
      <c r="B132" t="s">
        <v>81</v>
      </c>
    </row>
    <row r="133" spans="2:4" x14ac:dyDescent="0.25">
      <c r="B133" s="10" t="s">
        <v>895</v>
      </c>
      <c r="C133" s="70" t="s">
        <v>755</v>
      </c>
      <c r="D133" s="12" t="s">
        <v>748</v>
      </c>
    </row>
    <row r="134" spans="2:4" x14ac:dyDescent="0.25">
      <c r="B134" s="20" t="s">
        <v>880</v>
      </c>
      <c r="C134" s="65">
        <f>COUNTIF(Data!ES:ES,"Very_Poor")</f>
        <v>0</v>
      </c>
      <c r="D134" s="6" t="e">
        <f>C134/C139</f>
        <v>#DIV/0!</v>
      </c>
    </row>
    <row r="135" spans="2:4" x14ac:dyDescent="0.25">
      <c r="B135" s="20" t="s">
        <v>881</v>
      </c>
      <c r="C135" s="65">
        <f>COUNTIF(Data!ES:ES,"Poor")</f>
        <v>0</v>
      </c>
      <c r="D135" s="6" t="e">
        <f>C135/C139</f>
        <v>#DIV/0!</v>
      </c>
    </row>
    <row r="136" spans="2:4" x14ac:dyDescent="0.25">
      <c r="B136" s="20" t="s">
        <v>756</v>
      </c>
      <c r="C136" s="65">
        <f>COUNTIF(Data!ES:ES,"Average")</f>
        <v>0</v>
      </c>
      <c r="D136" s="6" t="e">
        <f>C136/C139</f>
        <v>#DIV/0!</v>
      </c>
    </row>
    <row r="137" spans="2:4" x14ac:dyDescent="0.25">
      <c r="B137" s="20" t="s">
        <v>882</v>
      </c>
      <c r="C137" s="65">
        <f>COUNTIF(Data!ES:ES,"Good")</f>
        <v>0</v>
      </c>
      <c r="D137" s="6" t="e">
        <f>C137/C139</f>
        <v>#DIV/0!</v>
      </c>
    </row>
    <row r="138" spans="2:4" x14ac:dyDescent="0.25">
      <c r="B138" s="21" t="s">
        <v>883</v>
      </c>
      <c r="C138" s="22">
        <f>COUNTIF(Data!ES:ES,"Very_Good")</f>
        <v>0</v>
      </c>
      <c r="D138" s="15" t="e">
        <f>C138/C139</f>
        <v>#DIV/0!</v>
      </c>
    </row>
    <row r="139" spans="2:4" x14ac:dyDescent="0.25">
      <c r="B139" s="21" t="s">
        <v>751</v>
      </c>
      <c r="C139" s="22">
        <f>SUM(C134:C138)</f>
        <v>0</v>
      </c>
      <c r="D139" s="15" t="e">
        <f>SUM(D134:D138)</f>
        <v>#DIV/0!</v>
      </c>
    </row>
    <row r="141" spans="2:4" x14ac:dyDescent="0.25">
      <c r="B141" t="s">
        <v>86</v>
      </c>
    </row>
    <row r="142" spans="2:4" x14ac:dyDescent="0.25">
      <c r="B142" s="10" t="s">
        <v>896</v>
      </c>
      <c r="C142" s="11" t="s">
        <v>755</v>
      </c>
      <c r="D142" s="12" t="s">
        <v>748</v>
      </c>
    </row>
    <row r="143" spans="2:4" x14ac:dyDescent="0.25">
      <c r="B143" s="20" t="s">
        <v>885</v>
      </c>
      <c r="C143" s="65">
        <f>COUNTIF(Data!ET:ET,"Not_useful_at_all")</f>
        <v>0</v>
      </c>
      <c r="D143" s="6" t="e">
        <f>C143/C148</f>
        <v>#DIV/0!</v>
      </c>
    </row>
    <row r="144" spans="2:4" x14ac:dyDescent="0.25">
      <c r="B144" s="20" t="s">
        <v>886</v>
      </c>
      <c r="C144" s="65">
        <f>COUNTIF(Data!ET:ET,"Not_so_useful")</f>
        <v>0</v>
      </c>
      <c r="D144" s="6" t="e">
        <f>C144/C148</f>
        <v>#DIV/0!</v>
      </c>
    </row>
    <row r="145" spans="2:4" x14ac:dyDescent="0.25">
      <c r="B145" s="20" t="s">
        <v>756</v>
      </c>
      <c r="C145" s="65">
        <f>COUNTIF(Data!ET:ET,"Average")</f>
        <v>0</v>
      </c>
      <c r="D145" s="6" t="e">
        <f>C145/C148</f>
        <v>#DIV/0!</v>
      </c>
    </row>
    <row r="146" spans="2:4" x14ac:dyDescent="0.25">
      <c r="B146" s="20" t="s">
        <v>887</v>
      </c>
      <c r="C146" s="65">
        <f>COUNTIF(Data!ET:ET,"Useful")</f>
        <v>0</v>
      </c>
      <c r="D146" s="6" t="e">
        <f>C146/C148</f>
        <v>#DIV/0!</v>
      </c>
    </row>
    <row r="147" spans="2:4" x14ac:dyDescent="0.25">
      <c r="B147" s="20" t="s">
        <v>888</v>
      </c>
      <c r="C147" s="65">
        <f>COUNTIF(Data!ET:ET,"Very_useful")</f>
        <v>0</v>
      </c>
      <c r="D147" s="6" t="e">
        <f>C147/C148</f>
        <v>#DIV/0!</v>
      </c>
    </row>
    <row r="148" spans="2:4" x14ac:dyDescent="0.25">
      <c r="B148" s="67" t="s">
        <v>751</v>
      </c>
      <c r="C148" s="8">
        <f>SUM(C143:C147)</f>
        <v>0</v>
      </c>
      <c r="D148" s="9" t="e">
        <f>SUM(D143:D147)</f>
        <v>#DIV/0!</v>
      </c>
    </row>
    <row r="150" spans="2:4" x14ac:dyDescent="0.25">
      <c r="B150" t="s">
        <v>94</v>
      </c>
    </row>
    <row r="151" spans="2:4" x14ac:dyDescent="0.25">
      <c r="B151" s="10" t="s">
        <v>897</v>
      </c>
      <c r="C151" s="11" t="s">
        <v>755</v>
      </c>
      <c r="D151" s="12" t="s">
        <v>877</v>
      </c>
    </row>
    <row r="152" spans="2:4" x14ac:dyDescent="0.25">
      <c r="B152" s="24" t="s">
        <v>806</v>
      </c>
      <c r="C152" s="5">
        <f>COUNTIFS(Data!EW:EW,"&gt;=1",Data!EW:EW,"&lt;=2")</f>
        <v>0</v>
      </c>
      <c r="D152" s="6" t="e">
        <f>C152/C155</f>
        <v>#DIV/0!</v>
      </c>
    </row>
    <row r="153" spans="2:4" x14ac:dyDescent="0.25">
      <c r="B153" s="24" t="s">
        <v>1329</v>
      </c>
      <c r="C153" s="5">
        <f>COUNTIFS(Data!EW:EW,"&gt;2",Data!EW:EW,"&lt;=4")</f>
        <v>0</v>
      </c>
      <c r="D153" s="6" t="e">
        <f>C153/C155</f>
        <v>#DIV/0!</v>
      </c>
    </row>
    <row r="154" spans="2:4" x14ac:dyDescent="0.25">
      <c r="B154" s="13" t="s">
        <v>1331</v>
      </c>
      <c r="C154" s="14">
        <f>COUNTIFS(Data!EW:EW,"&gt;4")</f>
        <v>0</v>
      </c>
      <c r="D154" s="15" t="e">
        <f>C154/C155</f>
        <v>#DIV/0!</v>
      </c>
    </row>
    <row r="155" spans="2:4" x14ac:dyDescent="0.25">
      <c r="B155" s="16" t="s">
        <v>751</v>
      </c>
      <c r="C155" s="68">
        <f>SUM(C152:C154)</f>
        <v>0</v>
      </c>
      <c r="D155" s="15" t="e">
        <f>SUM(D152:D154)</f>
        <v>#DIV/0!</v>
      </c>
    </row>
    <row r="156" spans="2:4" x14ac:dyDescent="0.25">
      <c r="B156" s="16" t="s">
        <v>756</v>
      </c>
      <c r="C156" s="69" t="e">
        <f>AVERAGE(Data!EW:EW)</f>
        <v>#DIV/0!</v>
      </c>
      <c r="D156" s="25"/>
    </row>
    <row r="158" spans="2:4" x14ac:dyDescent="0.25">
      <c r="B158" t="s">
        <v>81</v>
      </c>
    </row>
    <row r="159" spans="2:4" x14ac:dyDescent="0.25">
      <c r="B159" s="10" t="s">
        <v>898</v>
      </c>
      <c r="C159" s="70" t="s">
        <v>755</v>
      </c>
      <c r="D159" s="12" t="s">
        <v>748</v>
      </c>
    </row>
    <row r="160" spans="2:4" x14ac:dyDescent="0.25">
      <c r="B160" s="20" t="s">
        <v>880</v>
      </c>
      <c r="C160" s="65">
        <f>COUNTIF(Data!EX:EX,"Very_Poor")</f>
        <v>0</v>
      </c>
      <c r="D160" s="6" t="e">
        <f>C160/C165</f>
        <v>#DIV/0!</v>
      </c>
    </row>
    <row r="161" spans="2:4" x14ac:dyDescent="0.25">
      <c r="B161" s="20" t="s">
        <v>881</v>
      </c>
      <c r="C161" s="65">
        <f>COUNTIF(Data!EX:EX,"Poor")</f>
        <v>0</v>
      </c>
      <c r="D161" s="6" t="e">
        <f>C161/C165</f>
        <v>#DIV/0!</v>
      </c>
    </row>
    <row r="162" spans="2:4" x14ac:dyDescent="0.25">
      <c r="B162" s="20" t="s">
        <v>756</v>
      </c>
      <c r="C162" s="65">
        <f>COUNTIF(Data!EX:EX,"Average")</f>
        <v>0</v>
      </c>
      <c r="D162" s="6" t="e">
        <f>C162/C165</f>
        <v>#DIV/0!</v>
      </c>
    </row>
    <row r="163" spans="2:4" x14ac:dyDescent="0.25">
      <c r="B163" s="20" t="s">
        <v>882</v>
      </c>
      <c r="C163" s="65">
        <f>COUNTIF(Data!EX:EX,"Good")</f>
        <v>0</v>
      </c>
      <c r="D163" s="6" t="e">
        <f>C163/C165</f>
        <v>#DIV/0!</v>
      </c>
    </row>
    <row r="164" spans="2:4" x14ac:dyDescent="0.25">
      <c r="B164" s="21" t="s">
        <v>883</v>
      </c>
      <c r="C164" s="22">
        <f>COUNTIF(Data!EX:EX,"Very_Good")</f>
        <v>0</v>
      </c>
      <c r="D164" s="15" t="e">
        <f>C164/C165</f>
        <v>#DIV/0!</v>
      </c>
    </row>
    <row r="165" spans="2:4" x14ac:dyDescent="0.25">
      <c r="B165" s="21" t="s">
        <v>751</v>
      </c>
      <c r="C165" s="22">
        <f>SUM(C160:C164)</f>
        <v>0</v>
      </c>
      <c r="D165" s="15" t="e">
        <f>SUM(D160:D164)</f>
        <v>#DIV/0!</v>
      </c>
    </row>
    <row r="167" spans="2:4" x14ac:dyDescent="0.25">
      <c r="B167" t="s">
        <v>86</v>
      </c>
    </row>
    <row r="168" spans="2:4" x14ac:dyDescent="0.25">
      <c r="B168" s="10" t="s">
        <v>899</v>
      </c>
      <c r="C168" s="11" t="s">
        <v>755</v>
      </c>
      <c r="D168" s="12" t="s">
        <v>748</v>
      </c>
    </row>
    <row r="169" spans="2:4" x14ac:dyDescent="0.25">
      <c r="B169" s="20" t="s">
        <v>885</v>
      </c>
      <c r="C169" s="65">
        <f>COUNTIF(Data!EY:EY,"Not_useful_at_all")</f>
        <v>0</v>
      </c>
      <c r="D169" s="6" t="e">
        <f>C169/C174</f>
        <v>#DIV/0!</v>
      </c>
    </row>
    <row r="170" spans="2:4" x14ac:dyDescent="0.25">
      <c r="B170" s="20" t="s">
        <v>886</v>
      </c>
      <c r="C170" s="65">
        <f>COUNTIF(Data!EY:EY,"Not_so_useful")</f>
        <v>0</v>
      </c>
      <c r="D170" s="6" t="e">
        <f>C170/C174</f>
        <v>#DIV/0!</v>
      </c>
    </row>
    <row r="171" spans="2:4" x14ac:dyDescent="0.25">
      <c r="B171" s="20" t="s">
        <v>756</v>
      </c>
      <c r="C171" s="65">
        <f>COUNTIF(Data!EY:EY,"Average")</f>
        <v>0</v>
      </c>
      <c r="D171" s="6" t="e">
        <f>C171/C174</f>
        <v>#DIV/0!</v>
      </c>
    </row>
    <row r="172" spans="2:4" x14ac:dyDescent="0.25">
      <c r="B172" s="20" t="s">
        <v>887</v>
      </c>
      <c r="C172" s="65">
        <f>COUNTIF(Data!EY:EY,"Useful")</f>
        <v>0</v>
      </c>
      <c r="D172" s="6" t="e">
        <f>C172/C174</f>
        <v>#DIV/0!</v>
      </c>
    </row>
    <row r="173" spans="2:4" x14ac:dyDescent="0.25">
      <c r="B173" s="20" t="s">
        <v>888</v>
      </c>
      <c r="C173" s="65">
        <f>COUNTIF(Data!EY:EY,"Very_useful")</f>
        <v>0</v>
      </c>
      <c r="D173" s="6" t="e">
        <f>C173/C174</f>
        <v>#DIV/0!</v>
      </c>
    </row>
    <row r="174" spans="2:4" x14ac:dyDescent="0.25">
      <c r="B174" s="67" t="s">
        <v>751</v>
      </c>
      <c r="C174" s="8">
        <f>SUM(C169:C173)</f>
        <v>0</v>
      </c>
      <c r="D174" s="9" t="e">
        <f>SUM(D169:D173)</f>
        <v>#DIV/0!</v>
      </c>
    </row>
    <row r="176" spans="2:4" s="5" customFormat="1" x14ac:dyDescent="0.25">
      <c r="B176" s="5" t="s">
        <v>96</v>
      </c>
    </row>
    <row r="177" spans="1:4" s="5" customFormat="1" x14ac:dyDescent="0.25">
      <c r="A177" s="4"/>
      <c r="B177" s="1" t="s">
        <v>900</v>
      </c>
      <c r="C177" s="2" t="s">
        <v>755</v>
      </c>
      <c r="D177" s="3" t="s">
        <v>877</v>
      </c>
    </row>
    <row r="178" spans="1:4" s="5" customFormat="1" x14ac:dyDescent="0.25">
      <c r="A178" s="4"/>
      <c r="B178" s="24" t="s">
        <v>806</v>
      </c>
      <c r="C178" s="5">
        <f>COUNTIFS(Data!FB:FB,"&gt;=1",Data!FB:FB,"&lt;=2")</f>
        <v>0</v>
      </c>
      <c r="D178" s="6" t="e">
        <f>C178/C181</f>
        <v>#DIV/0!</v>
      </c>
    </row>
    <row r="179" spans="1:4" s="5" customFormat="1" x14ac:dyDescent="0.25">
      <c r="A179" s="4"/>
      <c r="B179" s="24" t="s">
        <v>1329</v>
      </c>
      <c r="C179" s="5">
        <f>COUNTIFS(Data!FB:FB,"&gt;2",Data!FB:FB,"&lt;=4")</f>
        <v>0</v>
      </c>
      <c r="D179" s="6" t="e">
        <f>C179/C181</f>
        <v>#DIV/0!</v>
      </c>
    </row>
    <row r="180" spans="1:4" s="5" customFormat="1" x14ac:dyDescent="0.25">
      <c r="A180" s="4"/>
      <c r="B180" s="13" t="s">
        <v>1331</v>
      </c>
      <c r="C180" s="14">
        <f>COUNTIFS(Data!FB:FB,"&gt;4")</f>
        <v>0</v>
      </c>
      <c r="D180" s="15" t="e">
        <f>C180/C181</f>
        <v>#DIV/0!</v>
      </c>
    </row>
    <row r="181" spans="1:4" s="5" customFormat="1" x14ac:dyDescent="0.25">
      <c r="A181" s="4"/>
      <c r="B181" s="16" t="s">
        <v>751</v>
      </c>
      <c r="C181" s="68">
        <f>SUM(C178:C180)</f>
        <v>0</v>
      </c>
      <c r="D181" s="15" t="e">
        <f>SUM(D178:D180)</f>
        <v>#DIV/0!</v>
      </c>
    </row>
    <row r="182" spans="1:4" s="5" customFormat="1" x14ac:dyDescent="0.25">
      <c r="A182" s="4"/>
      <c r="B182" s="16" t="s">
        <v>756</v>
      </c>
      <c r="C182" s="69" t="e">
        <f>AVERAGE(Data!FB:FB)</f>
        <v>#DIV/0!</v>
      </c>
      <c r="D182" s="25"/>
    </row>
    <row r="183" spans="1:4" s="5" customFormat="1" x14ac:dyDescent="0.25">
      <c r="A183" s="4"/>
    </row>
    <row r="184" spans="1:4" s="5" customFormat="1" x14ac:dyDescent="0.25">
      <c r="A184" s="4"/>
      <c r="B184" s="5" t="s">
        <v>81</v>
      </c>
    </row>
    <row r="185" spans="1:4" s="5" customFormat="1" x14ac:dyDescent="0.25">
      <c r="A185" s="4"/>
      <c r="B185" s="10" t="s">
        <v>901</v>
      </c>
      <c r="C185" s="70" t="s">
        <v>755</v>
      </c>
      <c r="D185" s="12" t="s">
        <v>748</v>
      </c>
    </row>
    <row r="186" spans="1:4" s="5" customFormat="1" x14ac:dyDescent="0.25">
      <c r="A186" s="4"/>
      <c r="B186" s="20" t="s">
        <v>880</v>
      </c>
      <c r="C186" s="65">
        <f>COUNTIF(Data!FC:FC,"Very_Poor")</f>
        <v>0</v>
      </c>
      <c r="D186" s="6" t="e">
        <f>C186/C191</f>
        <v>#DIV/0!</v>
      </c>
    </row>
    <row r="187" spans="1:4" s="5" customFormat="1" x14ac:dyDescent="0.25">
      <c r="A187" s="4"/>
      <c r="B187" s="20" t="s">
        <v>881</v>
      </c>
      <c r="C187" s="65">
        <f>COUNTIF(Data!FC:FC,"Poor")</f>
        <v>0</v>
      </c>
      <c r="D187" s="6" t="e">
        <f>C187/C191</f>
        <v>#DIV/0!</v>
      </c>
    </row>
    <row r="188" spans="1:4" s="5" customFormat="1" x14ac:dyDescent="0.25">
      <c r="A188" s="4"/>
      <c r="B188" s="20" t="s">
        <v>756</v>
      </c>
      <c r="C188" s="65">
        <f>COUNTIF(Data!FC:FC,"Average")</f>
        <v>0</v>
      </c>
      <c r="D188" s="6" t="e">
        <f>C188/C191</f>
        <v>#DIV/0!</v>
      </c>
    </row>
    <row r="189" spans="1:4" s="5" customFormat="1" x14ac:dyDescent="0.25">
      <c r="A189" s="4"/>
      <c r="B189" s="20" t="s">
        <v>882</v>
      </c>
      <c r="C189" s="65">
        <f>COUNTIF(Data!FC:FC,"Good")</f>
        <v>0</v>
      </c>
      <c r="D189" s="6" t="e">
        <f>C189/C191</f>
        <v>#DIV/0!</v>
      </c>
    </row>
    <row r="190" spans="1:4" s="5" customFormat="1" x14ac:dyDescent="0.25">
      <c r="A190" s="4"/>
      <c r="B190" s="21" t="s">
        <v>883</v>
      </c>
      <c r="C190" s="22">
        <f>COUNTIF(Data!FC:FC,"Very_Good")</f>
        <v>0</v>
      </c>
      <c r="D190" s="15" t="e">
        <f>C190/C191</f>
        <v>#DIV/0!</v>
      </c>
    </row>
    <row r="191" spans="1:4" s="5" customFormat="1" x14ac:dyDescent="0.25">
      <c r="A191" s="4"/>
      <c r="B191" s="21" t="s">
        <v>751</v>
      </c>
      <c r="C191" s="22">
        <f>SUM(C186:C190)</f>
        <v>0</v>
      </c>
      <c r="D191" s="15" t="e">
        <f>SUM(D186:D190)</f>
        <v>#DIV/0!</v>
      </c>
    </row>
    <row r="192" spans="1:4" s="5" customFormat="1" x14ac:dyDescent="0.25">
      <c r="A192" s="4"/>
    </row>
    <row r="193" spans="1:4" s="5" customFormat="1" x14ac:dyDescent="0.25">
      <c r="A193" s="4"/>
      <c r="B193" s="5" t="s">
        <v>86</v>
      </c>
    </row>
    <row r="194" spans="1:4" s="5" customFormat="1" x14ac:dyDescent="0.25">
      <c r="A194" s="4"/>
      <c r="B194" s="10" t="s">
        <v>902</v>
      </c>
      <c r="C194" s="11" t="s">
        <v>755</v>
      </c>
      <c r="D194" s="12" t="s">
        <v>748</v>
      </c>
    </row>
    <row r="195" spans="1:4" s="5" customFormat="1" x14ac:dyDescent="0.25">
      <c r="A195" s="4"/>
      <c r="B195" s="20" t="s">
        <v>885</v>
      </c>
      <c r="C195" s="65">
        <f>COUNTIF(Data!FD:FD,"Not_useful_at_all")</f>
        <v>0</v>
      </c>
      <c r="D195" s="6" t="e">
        <f>C195/C200</f>
        <v>#DIV/0!</v>
      </c>
    </row>
    <row r="196" spans="1:4" s="5" customFormat="1" x14ac:dyDescent="0.25">
      <c r="A196" s="4"/>
      <c r="B196" s="20" t="s">
        <v>886</v>
      </c>
      <c r="C196" s="65">
        <f>COUNTIF(Data!FD:FD,"Not_so_useful")</f>
        <v>0</v>
      </c>
      <c r="D196" s="6" t="e">
        <f>C196/C200</f>
        <v>#DIV/0!</v>
      </c>
    </row>
    <row r="197" spans="1:4" s="5" customFormat="1" x14ac:dyDescent="0.25">
      <c r="A197" s="4"/>
      <c r="B197" s="20" t="s">
        <v>756</v>
      </c>
      <c r="C197" s="65">
        <f>COUNTIF(Data!FD:FD,"Average")</f>
        <v>0</v>
      </c>
      <c r="D197" s="6" t="e">
        <f>C197/C200</f>
        <v>#DIV/0!</v>
      </c>
    </row>
    <row r="198" spans="1:4" s="5" customFormat="1" x14ac:dyDescent="0.25">
      <c r="A198" s="4"/>
      <c r="B198" s="20" t="s">
        <v>887</v>
      </c>
      <c r="C198" s="65">
        <f>COUNTIF(Data!FD:FD,"Useful")</f>
        <v>0</v>
      </c>
      <c r="D198" s="6" t="e">
        <f>C198/C200</f>
        <v>#DIV/0!</v>
      </c>
    </row>
    <row r="199" spans="1:4" s="5" customFormat="1" x14ac:dyDescent="0.25">
      <c r="A199" s="4"/>
      <c r="B199" s="20" t="s">
        <v>888</v>
      </c>
      <c r="C199" s="65">
        <f>COUNTIF(Data!FD:FD,"Very_useful")</f>
        <v>0</v>
      </c>
      <c r="D199" s="6" t="e">
        <f>C199/C200</f>
        <v>#DIV/0!</v>
      </c>
    </row>
    <row r="200" spans="1:4" s="5" customFormat="1" x14ac:dyDescent="0.25">
      <c r="A200" s="4"/>
      <c r="B200" s="67" t="s">
        <v>751</v>
      </c>
      <c r="C200" s="8">
        <f>SUM(C195:C199)</f>
        <v>0</v>
      </c>
      <c r="D200" s="9" t="e">
        <f>SUM(D195:D199)</f>
        <v>#DIV/0!</v>
      </c>
    </row>
    <row r="201" spans="1:4" s="5" customFormat="1" x14ac:dyDescent="0.25">
      <c r="A201" s="4"/>
    </row>
    <row r="202" spans="1:4" x14ac:dyDescent="0.25">
      <c r="B202" t="s">
        <v>98</v>
      </c>
    </row>
    <row r="203" spans="1:4" s="5" customFormat="1" x14ac:dyDescent="0.25">
      <c r="A203" s="4"/>
      <c r="B203" s="1" t="s">
        <v>903</v>
      </c>
      <c r="C203" s="2" t="s">
        <v>755</v>
      </c>
      <c r="D203" s="3" t="s">
        <v>877</v>
      </c>
    </row>
    <row r="204" spans="1:4" s="5" customFormat="1" x14ac:dyDescent="0.25">
      <c r="A204" s="4"/>
      <c r="B204" s="24" t="s">
        <v>806</v>
      </c>
      <c r="C204" s="5">
        <f>COUNTIFS(Data!FG:FG,"&gt;=1",Data!FG:FG,"&lt;=2")</f>
        <v>0</v>
      </c>
      <c r="D204" s="6" t="e">
        <f>C204/C207</f>
        <v>#DIV/0!</v>
      </c>
    </row>
    <row r="205" spans="1:4" s="5" customFormat="1" x14ac:dyDescent="0.25">
      <c r="A205" s="4"/>
      <c r="B205" s="24" t="s">
        <v>1329</v>
      </c>
      <c r="C205" s="5">
        <f>COUNTIFS(Data!FG:FG,"&gt;2",Data!FG:FG,"&lt;=4")</f>
        <v>0</v>
      </c>
      <c r="D205" s="6" t="e">
        <f>C205/C207</f>
        <v>#DIV/0!</v>
      </c>
    </row>
    <row r="206" spans="1:4" s="5" customFormat="1" x14ac:dyDescent="0.25">
      <c r="A206" s="4"/>
      <c r="B206" s="13" t="s">
        <v>1331</v>
      </c>
      <c r="C206" s="14">
        <f>COUNTIFS(Data!FG:FG,"&gt;4")</f>
        <v>0</v>
      </c>
      <c r="D206" s="15" t="e">
        <f>C206/C207</f>
        <v>#DIV/0!</v>
      </c>
    </row>
    <row r="207" spans="1:4" s="5" customFormat="1" x14ac:dyDescent="0.25">
      <c r="A207" s="4"/>
      <c r="B207" s="16" t="s">
        <v>751</v>
      </c>
      <c r="C207" s="68">
        <f>SUM(C204:C206)</f>
        <v>0</v>
      </c>
      <c r="D207" s="15" t="e">
        <f>SUM(D204:D206)</f>
        <v>#DIV/0!</v>
      </c>
    </row>
    <row r="208" spans="1:4" s="5" customFormat="1" x14ac:dyDescent="0.25">
      <c r="A208" s="4"/>
      <c r="B208" s="16" t="s">
        <v>756</v>
      </c>
      <c r="C208" s="69" t="e">
        <f>AVERAGE(Data!FG:FG)</f>
        <v>#DIV/0!</v>
      </c>
      <c r="D208" s="25"/>
    </row>
    <row r="209" spans="1:4" s="5" customFormat="1" x14ac:dyDescent="0.25">
      <c r="A209" s="4"/>
    </row>
    <row r="210" spans="1:4" s="5" customFormat="1" x14ac:dyDescent="0.25">
      <c r="A210" s="4"/>
      <c r="B210" s="5" t="s">
        <v>81</v>
      </c>
    </row>
    <row r="211" spans="1:4" s="5" customFormat="1" x14ac:dyDescent="0.25">
      <c r="A211" s="4"/>
      <c r="B211" s="10" t="s">
        <v>904</v>
      </c>
      <c r="C211" s="70" t="s">
        <v>755</v>
      </c>
      <c r="D211" s="12" t="s">
        <v>748</v>
      </c>
    </row>
    <row r="212" spans="1:4" s="5" customFormat="1" x14ac:dyDescent="0.25">
      <c r="A212" s="4"/>
      <c r="B212" s="20" t="s">
        <v>880</v>
      </c>
      <c r="C212" s="65">
        <f>COUNTIF(Data!FH:FH,"Very_Poor")</f>
        <v>0</v>
      </c>
      <c r="D212" s="6" t="e">
        <f>C212/C217</f>
        <v>#DIV/0!</v>
      </c>
    </row>
    <row r="213" spans="1:4" s="5" customFormat="1" x14ac:dyDescent="0.25">
      <c r="A213" s="4"/>
      <c r="B213" s="20" t="s">
        <v>881</v>
      </c>
      <c r="C213" s="65">
        <f>COUNTIF(Data!FH:FH,"Poor")</f>
        <v>0</v>
      </c>
      <c r="D213" s="6" t="e">
        <f>C213/C217</f>
        <v>#DIV/0!</v>
      </c>
    </row>
    <row r="214" spans="1:4" s="5" customFormat="1" x14ac:dyDescent="0.25">
      <c r="A214" s="4"/>
      <c r="B214" s="20" t="s">
        <v>756</v>
      </c>
      <c r="C214" s="65">
        <f>COUNTIF(Data!FH:FH,"Average")</f>
        <v>0</v>
      </c>
      <c r="D214" s="6" t="e">
        <f>C214/C217</f>
        <v>#DIV/0!</v>
      </c>
    </row>
    <row r="215" spans="1:4" s="5" customFormat="1" x14ac:dyDescent="0.25">
      <c r="A215" s="4"/>
      <c r="B215" s="20" t="s">
        <v>882</v>
      </c>
      <c r="C215" s="65">
        <f>COUNTIF(Data!FH:FH,"Good")</f>
        <v>0</v>
      </c>
      <c r="D215" s="6" t="e">
        <f>C215/C217</f>
        <v>#DIV/0!</v>
      </c>
    </row>
    <row r="216" spans="1:4" s="5" customFormat="1" x14ac:dyDescent="0.25">
      <c r="A216" s="4"/>
      <c r="B216" s="21" t="s">
        <v>883</v>
      </c>
      <c r="C216" s="22">
        <f>COUNTIF(Data!FH:FH,"Very_Good")</f>
        <v>0</v>
      </c>
      <c r="D216" s="15" t="e">
        <f>C216/C217</f>
        <v>#DIV/0!</v>
      </c>
    </row>
    <row r="217" spans="1:4" s="5" customFormat="1" x14ac:dyDescent="0.25">
      <c r="A217" s="4"/>
      <c r="B217" s="21" t="s">
        <v>751</v>
      </c>
      <c r="C217" s="22">
        <f>SUM(C212:C216)</f>
        <v>0</v>
      </c>
      <c r="D217" s="15" t="e">
        <f>SUM(D212:D216)</f>
        <v>#DIV/0!</v>
      </c>
    </row>
    <row r="218" spans="1:4" s="5" customFormat="1" x14ac:dyDescent="0.25">
      <c r="A218" s="4"/>
    </row>
    <row r="219" spans="1:4" s="5" customFormat="1" x14ac:dyDescent="0.25">
      <c r="A219" s="4"/>
      <c r="B219" s="5" t="s">
        <v>86</v>
      </c>
    </row>
    <row r="220" spans="1:4" s="5" customFormat="1" x14ac:dyDescent="0.25">
      <c r="A220" s="4"/>
      <c r="B220" s="10" t="s">
        <v>905</v>
      </c>
      <c r="C220" s="11" t="s">
        <v>755</v>
      </c>
      <c r="D220" s="12" t="s">
        <v>748</v>
      </c>
    </row>
    <row r="221" spans="1:4" s="5" customFormat="1" x14ac:dyDescent="0.25">
      <c r="A221" s="4"/>
      <c r="B221" s="20" t="s">
        <v>885</v>
      </c>
      <c r="C221" s="65">
        <f>COUNTIF(Data!FI:FI,"Not_useful_at_all")</f>
        <v>0</v>
      </c>
      <c r="D221" s="6" t="e">
        <f>C221/C226</f>
        <v>#DIV/0!</v>
      </c>
    </row>
    <row r="222" spans="1:4" s="5" customFormat="1" x14ac:dyDescent="0.25">
      <c r="A222" s="4"/>
      <c r="B222" s="20" t="s">
        <v>886</v>
      </c>
      <c r="C222" s="65">
        <f>COUNTIF(Data!FI:FI,"Not_so_useful")</f>
        <v>0</v>
      </c>
      <c r="D222" s="6" t="e">
        <f>C222/C226</f>
        <v>#DIV/0!</v>
      </c>
    </row>
    <row r="223" spans="1:4" s="5" customFormat="1" x14ac:dyDescent="0.25">
      <c r="A223" s="4"/>
      <c r="B223" s="20" t="s">
        <v>756</v>
      </c>
      <c r="C223" s="65">
        <f>COUNTIF(Data!FI:FI,"Average")</f>
        <v>0</v>
      </c>
      <c r="D223" s="6" t="e">
        <f>C223/C226</f>
        <v>#DIV/0!</v>
      </c>
    </row>
    <row r="224" spans="1:4" s="5" customFormat="1" x14ac:dyDescent="0.25">
      <c r="A224" s="4"/>
      <c r="B224" s="20" t="s">
        <v>887</v>
      </c>
      <c r="C224" s="65">
        <f>COUNTIF(Data!FI:FI,"Useful")</f>
        <v>0</v>
      </c>
      <c r="D224" s="6" t="e">
        <f>C224/C226</f>
        <v>#DIV/0!</v>
      </c>
    </row>
    <row r="225" spans="1:4" s="5" customFormat="1" x14ac:dyDescent="0.25">
      <c r="A225" s="4"/>
      <c r="B225" s="20" t="s">
        <v>888</v>
      </c>
      <c r="C225" s="65">
        <f>COUNTIF(Data!FI:FI,"Very_useful")</f>
        <v>0</v>
      </c>
      <c r="D225" s="6" t="e">
        <f>C225/C226</f>
        <v>#DIV/0!</v>
      </c>
    </row>
    <row r="226" spans="1:4" s="5" customFormat="1" x14ac:dyDescent="0.25">
      <c r="A226" s="4"/>
      <c r="B226" s="67" t="s">
        <v>751</v>
      </c>
      <c r="C226" s="8">
        <f>SUM(C221:C225)</f>
        <v>0</v>
      </c>
      <c r="D226" s="9" t="e">
        <f>SUM(D221:D225)</f>
        <v>#DIV/0!</v>
      </c>
    </row>
    <row r="227" spans="1:4" s="5" customFormat="1" x14ac:dyDescent="0.25">
      <c r="A227" s="4"/>
    </row>
    <row r="228" spans="1:4" x14ac:dyDescent="0.25">
      <c r="B228" t="s">
        <v>101</v>
      </c>
    </row>
    <row r="229" spans="1:4" s="5" customFormat="1" x14ac:dyDescent="0.25">
      <c r="A229" s="4"/>
      <c r="B229" s="10" t="s">
        <v>907</v>
      </c>
      <c r="C229" s="70" t="s">
        <v>755</v>
      </c>
      <c r="D229" s="12" t="s">
        <v>748</v>
      </c>
    </row>
    <row r="230" spans="1:4" s="5" customFormat="1" x14ac:dyDescent="0.25">
      <c r="A230" s="4"/>
      <c r="B230" s="20" t="s">
        <v>872</v>
      </c>
      <c r="C230" s="65">
        <f>COUNTIF(Data!FM:FM,"Plastic_sheets")</f>
        <v>0</v>
      </c>
      <c r="D230" s="6" t="e">
        <f>C230/C235</f>
        <v>#DIV/0!</v>
      </c>
    </row>
    <row r="231" spans="1:4" s="5" customFormat="1" x14ac:dyDescent="0.25">
      <c r="A231" s="4"/>
      <c r="B231" s="20" t="s">
        <v>906</v>
      </c>
      <c r="C231" s="65">
        <f>COUNTIF(Data!FM:FM,"Sticks")</f>
        <v>0</v>
      </c>
      <c r="D231" s="6" t="e">
        <f>C231/C235</f>
        <v>#DIV/0!</v>
      </c>
    </row>
    <row r="232" spans="1:4" s="5" customFormat="1" x14ac:dyDescent="0.25">
      <c r="A232" s="4"/>
      <c r="B232" s="20" t="s">
        <v>873</v>
      </c>
      <c r="C232" s="65">
        <f>COUNTIF(Data!FM:FM,"Iron_Sheets")</f>
        <v>0</v>
      </c>
      <c r="D232" s="6" t="e">
        <f>C232/C235</f>
        <v>#DIV/0!</v>
      </c>
    </row>
    <row r="233" spans="1:4" s="5" customFormat="1" x14ac:dyDescent="0.25">
      <c r="A233" s="4"/>
      <c r="B233" s="20" t="s">
        <v>770</v>
      </c>
      <c r="C233" s="65">
        <f>COUNTIF(Data!FM:FM,"Other")</f>
        <v>0</v>
      </c>
      <c r="D233" s="6" t="e">
        <f>C233/C235</f>
        <v>#DIV/0!</v>
      </c>
    </row>
    <row r="234" spans="1:4" s="5" customFormat="1" x14ac:dyDescent="0.25">
      <c r="A234" s="4"/>
      <c r="B234" s="21" t="s">
        <v>871</v>
      </c>
      <c r="C234" s="22">
        <f>COUNTIF(Data!FM:FM,"Tent")</f>
        <v>0</v>
      </c>
      <c r="D234" s="15" t="e">
        <f>C234/C235</f>
        <v>#DIV/0!</v>
      </c>
    </row>
    <row r="235" spans="1:4" s="5" customFormat="1" x14ac:dyDescent="0.25">
      <c r="A235" s="4"/>
      <c r="B235" s="21" t="s">
        <v>751</v>
      </c>
      <c r="C235" s="22">
        <f>SUM(C230:C234)</f>
        <v>0</v>
      </c>
      <c r="D235" s="15" t="e">
        <f>SUM(D230:D234)</f>
        <v>#DIV/0!</v>
      </c>
    </row>
    <row r="236" spans="1:4" s="5" customFormat="1" x14ac:dyDescent="0.25">
      <c r="A236" s="4"/>
    </row>
    <row r="237" spans="1:4" x14ac:dyDescent="0.25">
      <c r="B237" t="s">
        <v>136</v>
      </c>
    </row>
    <row r="238" spans="1:4" x14ac:dyDescent="0.25">
      <c r="B238" s="1" t="s">
        <v>752</v>
      </c>
      <c r="C238" s="2" t="s">
        <v>747</v>
      </c>
      <c r="D238" s="3" t="s">
        <v>748</v>
      </c>
    </row>
    <row r="239" spans="1:4" x14ac:dyDescent="0.25">
      <c r="B239" s="4" t="s">
        <v>749</v>
      </c>
      <c r="C239" s="5">
        <f>COUNTIF(Data!HF:HF,"Yes")</f>
        <v>0</v>
      </c>
      <c r="D239" s="6" t="e">
        <f>C239/C241</f>
        <v>#DIV/0!</v>
      </c>
    </row>
    <row r="240" spans="1:4" x14ac:dyDescent="0.25">
      <c r="B240" s="4" t="s">
        <v>750</v>
      </c>
      <c r="C240" s="5">
        <f>COUNTIF(Data!HF:HF,"No")</f>
        <v>0</v>
      </c>
      <c r="D240" s="6" t="e">
        <f>C240/C241</f>
        <v>#DIV/0!</v>
      </c>
    </row>
    <row r="241" spans="2:4" x14ac:dyDescent="0.25">
      <c r="B241" s="7" t="s">
        <v>751</v>
      </c>
      <c r="C241" s="8">
        <f>SUM(C239:C240)</f>
        <v>0</v>
      </c>
      <c r="D241" s="9" t="e">
        <f>SUM(D239:D240)</f>
        <v>#DIV/0!</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1"/>
  <sheetViews>
    <sheetView workbookViewId="0"/>
  </sheetViews>
  <sheetFormatPr defaultRowHeight="15" x14ac:dyDescent="0.25"/>
  <cols>
    <col min="2" max="2" width="27.140625" customWidth="1"/>
    <col min="3" max="3" width="13" customWidth="1"/>
    <col min="4" max="4" width="16.42578125" customWidth="1"/>
  </cols>
  <sheetData>
    <row r="1" spans="1:4" s="128" customFormat="1" ht="16.5" customHeight="1" x14ac:dyDescent="0.25">
      <c r="A1" s="127">
        <v>11</v>
      </c>
      <c r="B1" s="128" t="s">
        <v>738</v>
      </c>
    </row>
    <row r="3" spans="1:4" x14ac:dyDescent="0.25">
      <c r="B3" t="s">
        <v>83</v>
      </c>
    </row>
    <row r="4" spans="1:4" x14ac:dyDescent="0.25">
      <c r="B4" s="10" t="s">
        <v>908</v>
      </c>
      <c r="C4" s="11" t="s">
        <v>755</v>
      </c>
      <c r="D4" s="12" t="s">
        <v>748</v>
      </c>
    </row>
    <row r="5" spans="1:4" x14ac:dyDescent="0.25">
      <c r="B5" s="20" t="s">
        <v>909</v>
      </c>
      <c r="C5" s="5">
        <f>COUNTIF(Data!EA:EA,"Kept_Consumed_Used")</f>
        <v>0</v>
      </c>
      <c r="D5" s="6" t="e">
        <f>C5/C13</f>
        <v>#DIV/0!</v>
      </c>
    </row>
    <row r="6" spans="1:4" x14ac:dyDescent="0.25">
      <c r="B6" s="20" t="s">
        <v>910</v>
      </c>
      <c r="C6" s="5">
        <f>COUNTIF(Data!EA:EA,"Loaned")</f>
        <v>0</v>
      </c>
      <c r="D6" s="6" t="e">
        <f>C6/C13</f>
        <v>#DIV/0!</v>
      </c>
    </row>
    <row r="7" spans="1:4" x14ac:dyDescent="0.25">
      <c r="B7" s="20" t="s">
        <v>911</v>
      </c>
      <c r="C7" s="5">
        <f>COUNTIF(Data!EA:EA,"Sold")</f>
        <v>0</v>
      </c>
      <c r="D7" s="6" t="e">
        <f>C7/C13</f>
        <v>#DIV/0!</v>
      </c>
    </row>
    <row r="8" spans="1:4" x14ac:dyDescent="0.25">
      <c r="B8" s="20" t="s">
        <v>912</v>
      </c>
      <c r="C8" s="5">
        <f>COUNTIF(Data!EA:EA,"Stolen")</f>
        <v>0</v>
      </c>
      <c r="D8" s="6" t="e">
        <f>C8/C13</f>
        <v>#DIV/0!</v>
      </c>
    </row>
    <row r="9" spans="1:4" x14ac:dyDescent="0.25">
      <c r="B9" s="20" t="s">
        <v>913</v>
      </c>
      <c r="C9" s="5">
        <f>COUNTIF(Data!EA:EA,"Exchanged")</f>
        <v>0</v>
      </c>
      <c r="D9" s="6" t="e">
        <f>C9/C13</f>
        <v>#DIV/0!</v>
      </c>
    </row>
    <row r="10" spans="1:4" x14ac:dyDescent="0.25">
      <c r="B10" s="20" t="s">
        <v>914</v>
      </c>
      <c r="C10" s="5">
        <f>COUNTIF(Data!EA:EA,"Gifted")</f>
        <v>0</v>
      </c>
      <c r="D10" s="6" t="e">
        <f>C10/C13</f>
        <v>#DIV/0!</v>
      </c>
    </row>
    <row r="11" spans="1:4" x14ac:dyDescent="0.25">
      <c r="B11" s="20" t="s">
        <v>915</v>
      </c>
      <c r="C11" s="5">
        <f>COUNTIF(Data!EA:EA,"Destroyed")</f>
        <v>0</v>
      </c>
      <c r="D11" s="6" t="e">
        <f>C11/C13</f>
        <v>#DIV/0!</v>
      </c>
    </row>
    <row r="12" spans="1:4" x14ac:dyDescent="0.25">
      <c r="B12" s="21" t="s">
        <v>916</v>
      </c>
      <c r="C12" s="14">
        <f>COUNTIF(Data!EA:EA,"Lost")</f>
        <v>0</v>
      </c>
      <c r="D12" s="15" t="e">
        <f>C12/C13</f>
        <v>#DIV/0!</v>
      </c>
    </row>
    <row r="13" spans="1:4" x14ac:dyDescent="0.25">
      <c r="B13" s="13" t="s">
        <v>917</v>
      </c>
      <c r="C13" s="14">
        <f>SUM(C5:C12)</f>
        <v>0</v>
      </c>
      <c r="D13" s="15" t="e">
        <f>SUM(D5:D12)</f>
        <v>#DIV/0!</v>
      </c>
    </row>
    <row r="14" spans="1:4" x14ac:dyDescent="0.25">
      <c r="B14" s="5"/>
      <c r="C14" s="5"/>
      <c r="D14" s="31"/>
    </row>
    <row r="15" spans="1:4" x14ac:dyDescent="0.25">
      <c r="B15" t="s">
        <v>84</v>
      </c>
    </row>
    <row r="16" spans="1:4" x14ac:dyDescent="0.25">
      <c r="B16" s="10" t="s">
        <v>918</v>
      </c>
      <c r="C16" s="11" t="s">
        <v>755</v>
      </c>
      <c r="D16" s="12" t="s">
        <v>748</v>
      </c>
    </row>
    <row r="17" spans="2:4" x14ac:dyDescent="0.25">
      <c r="B17" s="16" t="s">
        <v>919</v>
      </c>
      <c r="C17" s="72" t="e">
        <f>AVERAGE(Data!EB:EB)</f>
        <v>#DIV/0!</v>
      </c>
      <c r="D17" s="25"/>
    </row>
    <row r="19" spans="2:4" x14ac:dyDescent="0.25">
      <c r="B19" t="s">
        <v>87</v>
      </c>
    </row>
    <row r="20" spans="2:4" x14ac:dyDescent="0.25">
      <c r="B20" s="10" t="s">
        <v>921</v>
      </c>
      <c r="C20" s="11" t="s">
        <v>755</v>
      </c>
      <c r="D20" s="12" t="s">
        <v>748</v>
      </c>
    </row>
    <row r="21" spans="2:4" x14ac:dyDescent="0.25">
      <c r="B21" s="4" t="s">
        <v>909</v>
      </c>
      <c r="C21" s="5">
        <f>COUNTIF(Data!EF:EF,"*Kept_Consumed_Used*")</f>
        <v>0</v>
      </c>
      <c r="D21" s="6" t="e">
        <f>C21/C29</f>
        <v>#DIV/0!</v>
      </c>
    </row>
    <row r="22" spans="2:4" x14ac:dyDescent="0.25">
      <c r="B22" s="4" t="s">
        <v>910</v>
      </c>
      <c r="C22" s="5">
        <f>COUNTIF(Data!EF:EF,"*Loaned*")</f>
        <v>0</v>
      </c>
      <c r="D22" s="6" t="e">
        <f>C22/C29</f>
        <v>#DIV/0!</v>
      </c>
    </row>
    <row r="23" spans="2:4" x14ac:dyDescent="0.25">
      <c r="B23" s="4" t="s">
        <v>911</v>
      </c>
      <c r="C23" s="5">
        <f>COUNTIF(Data!EF:EF,"*Sold*")</f>
        <v>0</v>
      </c>
      <c r="D23" s="6" t="e">
        <f>C23/C29</f>
        <v>#DIV/0!</v>
      </c>
    </row>
    <row r="24" spans="2:4" x14ac:dyDescent="0.25">
      <c r="B24" s="4" t="s">
        <v>912</v>
      </c>
      <c r="C24" s="5">
        <f>COUNTIF(Data!EF:EF,"*Stolen*")</f>
        <v>0</v>
      </c>
      <c r="D24" s="6" t="e">
        <f>C24/C29</f>
        <v>#DIV/0!</v>
      </c>
    </row>
    <row r="25" spans="2:4" x14ac:dyDescent="0.25">
      <c r="B25" s="71" t="s">
        <v>913</v>
      </c>
      <c r="C25" s="5">
        <f>COUNTIF(Data!EF:EF,"*Exchanged*")</f>
        <v>0</v>
      </c>
      <c r="D25" s="6" t="e">
        <f>C25/C29</f>
        <v>#DIV/0!</v>
      </c>
    </row>
    <row r="26" spans="2:4" x14ac:dyDescent="0.25">
      <c r="B26" s="4" t="s">
        <v>914</v>
      </c>
      <c r="C26" s="5">
        <f>COUNTIF(Data!EF:EF,"*Gifted*")</f>
        <v>0</v>
      </c>
      <c r="D26" s="6" t="e">
        <f>C26/C29</f>
        <v>#DIV/0!</v>
      </c>
    </row>
    <row r="27" spans="2:4" x14ac:dyDescent="0.25">
      <c r="B27" s="4" t="s">
        <v>915</v>
      </c>
      <c r="C27" s="5">
        <f>COUNTIF(Data!EF:EF,"*Destroyed*")</f>
        <v>0</v>
      </c>
      <c r="D27" s="6" t="e">
        <f>C27/C29</f>
        <v>#DIV/0!</v>
      </c>
    </row>
    <row r="28" spans="2:4" x14ac:dyDescent="0.25">
      <c r="B28" s="16" t="s">
        <v>916</v>
      </c>
      <c r="C28" s="14">
        <f>COUNTIF(Data!EF:EF,"*Lost*")</f>
        <v>0</v>
      </c>
      <c r="D28" s="15" t="e">
        <f>C28/C29</f>
        <v>#DIV/0!</v>
      </c>
    </row>
    <row r="29" spans="2:4" x14ac:dyDescent="0.25">
      <c r="B29" s="21" t="s">
        <v>812</v>
      </c>
      <c r="C29" s="14">
        <f>SUM(C21:C28)</f>
        <v>0</v>
      </c>
      <c r="D29" s="15" t="e">
        <f>SUM(D21:D28)</f>
        <v>#DIV/0!</v>
      </c>
    </row>
    <row r="30" spans="2:4" x14ac:dyDescent="0.25">
      <c r="B30" s="59" t="s">
        <v>813</v>
      </c>
      <c r="C30" s="68">
        <f>COUNTIF(Data!EF5:EF9999,"*i*")</f>
        <v>0</v>
      </c>
      <c r="D30" s="15"/>
    </row>
    <row r="31" spans="2:4" x14ac:dyDescent="0.25">
      <c r="B31" s="64"/>
      <c r="C31" s="5"/>
      <c r="D31" s="31"/>
    </row>
    <row r="32" spans="2:4" x14ac:dyDescent="0.25">
      <c r="B32" t="s">
        <v>84</v>
      </c>
    </row>
    <row r="33" spans="2:4" x14ac:dyDescent="0.25">
      <c r="B33" s="10" t="s">
        <v>922</v>
      </c>
      <c r="C33" s="11" t="s">
        <v>755</v>
      </c>
      <c r="D33" s="12" t="s">
        <v>748</v>
      </c>
    </row>
    <row r="34" spans="2:4" x14ac:dyDescent="0.25">
      <c r="B34" s="16" t="s">
        <v>919</v>
      </c>
      <c r="C34" s="72" t="e">
        <f>AVERAGE(Data!EG:EG)</f>
        <v>#DIV/0!</v>
      </c>
      <c r="D34" s="25"/>
    </row>
    <row r="36" spans="2:4" x14ac:dyDescent="0.25">
      <c r="B36" t="s">
        <v>89</v>
      </c>
    </row>
    <row r="37" spans="2:4" x14ac:dyDescent="0.25">
      <c r="B37" s="10" t="s">
        <v>923</v>
      </c>
      <c r="C37" s="11" t="s">
        <v>755</v>
      </c>
      <c r="D37" s="12" t="s">
        <v>748</v>
      </c>
    </row>
    <row r="38" spans="2:4" x14ac:dyDescent="0.25">
      <c r="B38" s="4" t="s">
        <v>909</v>
      </c>
      <c r="C38" s="5">
        <f>COUNTIF(Data!EK:EK,"*Kept_Consumed_Used*")</f>
        <v>0</v>
      </c>
      <c r="D38" s="6" t="e">
        <f>C38/C46</f>
        <v>#DIV/0!</v>
      </c>
    </row>
    <row r="39" spans="2:4" x14ac:dyDescent="0.25">
      <c r="B39" s="4" t="s">
        <v>910</v>
      </c>
      <c r="C39" s="5">
        <f>COUNTIF(Data!EK:EK,"*Loaned*")</f>
        <v>0</v>
      </c>
      <c r="D39" s="6" t="e">
        <f>C39/C46</f>
        <v>#DIV/0!</v>
      </c>
    </row>
    <row r="40" spans="2:4" x14ac:dyDescent="0.25">
      <c r="B40" s="4" t="s">
        <v>911</v>
      </c>
      <c r="C40" s="5">
        <f>COUNTIF(Data!EK:EK,"*Sold*")</f>
        <v>0</v>
      </c>
      <c r="D40" s="6" t="e">
        <f>C40/C46</f>
        <v>#DIV/0!</v>
      </c>
    </row>
    <row r="41" spans="2:4" x14ac:dyDescent="0.25">
      <c r="B41" s="4" t="s">
        <v>912</v>
      </c>
      <c r="C41" s="5">
        <f>COUNTIF(Data!EK:EK,"*Stolen*")</f>
        <v>0</v>
      </c>
      <c r="D41" s="6" t="e">
        <f>C41/C46</f>
        <v>#DIV/0!</v>
      </c>
    </row>
    <row r="42" spans="2:4" x14ac:dyDescent="0.25">
      <c r="B42" s="71" t="s">
        <v>913</v>
      </c>
      <c r="C42" s="5">
        <f>COUNTIF(Data!EK:EK,"*Exchanged*")</f>
        <v>0</v>
      </c>
      <c r="D42" s="6" t="e">
        <f>C42/C46</f>
        <v>#DIV/0!</v>
      </c>
    </row>
    <row r="43" spans="2:4" x14ac:dyDescent="0.25">
      <c r="B43" s="4" t="s">
        <v>914</v>
      </c>
      <c r="C43" s="5">
        <f>COUNTIF(Data!EK:EK,"*Gifted*")</f>
        <v>0</v>
      </c>
      <c r="D43" s="6" t="e">
        <f>C43/C46</f>
        <v>#DIV/0!</v>
      </c>
    </row>
    <row r="44" spans="2:4" x14ac:dyDescent="0.25">
      <c r="B44" s="4" t="s">
        <v>915</v>
      </c>
      <c r="C44" s="5">
        <f>COUNTIF(Data!EK:EK,"*Destroyed*")</f>
        <v>0</v>
      </c>
      <c r="D44" s="6" t="e">
        <f>C44/C46</f>
        <v>#DIV/0!</v>
      </c>
    </row>
    <row r="45" spans="2:4" x14ac:dyDescent="0.25">
      <c r="B45" s="16" t="s">
        <v>916</v>
      </c>
      <c r="C45" s="14">
        <f>COUNTIF(Data!EK:EK,"*Lost*")</f>
        <v>0</v>
      </c>
      <c r="D45" s="15" t="e">
        <f>C45/C46</f>
        <v>#DIV/0!</v>
      </c>
    </row>
    <row r="46" spans="2:4" x14ac:dyDescent="0.25">
      <c r="B46" s="21" t="s">
        <v>812</v>
      </c>
      <c r="C46" s="14">
        <f>SUM(C38:C45)</f>
        <v>0</v>
      </c>
      <c r="D46" s="15" t="e">
        <f>SUM(D38:D45)</f>
        <v>#DIV/0!</v>
      </c>
    </row>
    <row r="47" spans="2:4" x14ac:dyDescent="0.25">
      <c r="B47" s="59" t="s">
        <v>813</v>
      </c>
      <c r="C47" s="68">
        <f>COUNTIF(Data!EK5:EK9999,"*i*")</f>
        <v>0</v>
      </c>
      <c r="D47" s="15"/>
    </row>
    <row r="49" spans="2:4" x14ac:dyDescent="0.25">
      <c r="B49" t="s">
        <v>84</v>
      </c>
    </row>
    <row r="50" spans="2:4" x14ac:dyDescent="0.25">
      <c r="B50" s="10" t="s">
        <v>924</v>
      </c>
      <c r="C50" s="11" t="s">
        <v>755</v>
      </c>
      <c r="D50" s="12" t="s">
        <v>748</v>
      </c>
    </row>
    <row r="51" spans="2:4" x14ac:dyDescent="0.25">
      <c r="B51" s="16" t="s">
        <v>919</v>
      </c>
      <c r="C51" s="72" t="e">
        <f>AVERAGE(Data!EL:EL)</f>
        <v>#DIV/0!</v>
      </c>
      <c r="D51" s="25"/>
    </row>
    <row r="53" spans="2:4" x14ac:dyDescent="0.25">
      <c r="B53" t="s">
        <v>91</v>
      </c>
    </row>
    <row r="54" spans="2:4" x14ac:dyDescent="0.25">
      <c r="B54" s="10" t="s">
        <v>925</v>
      </c>
      <c r="C54" s="11" t="s">
        <v>755</v>
      </c>
      <c r="D54" s="12" t="s">
        <v>748</v>
      </c>
    </row>
    <row r="55" spans="2:4" x14ac:dyDescent="0.25">
      <c r="B55" s="4" t="s">
        <v>909</v>
      </c>
      <c r="C55" s="5">
        <f>COUNTIF(Data!EP:EP,"*Kept_Consumed_Used*")</f>
        <v>0</v>
      </c>
      <c r="D55" s="6" t="e">
        <f>C55/C63</f>
        <v>#DIV/0!</v>
      </c>
    </row>
    <row r="56" spans="2:4" x14ac:dyDescent="0.25">
      <c r="B56" s="4" t="s">
        <v>910</v>
      </c>
      <c r="C56" s="5">
        <f>COUNTIF(Data!EP:EP,"*Loaned*")</f>
        <v>0</v>
      </c>
      <c r="D56" s="6" t="e">
        <f>C56/C63</f>
        <v>#DIV/0!</v>
      </c>
    </row>
    <row r="57" spans="2:4" x14ac:dyDescent="0.25">
      <c r="B57" s="4" t="s">
        <v>911</v>
      </c>
      <c r="C57" s="5">
        <f>COUNTIF(Data!EP:EP,"*Sold*")</f>
        <v>0</v>
      </c>
      <c r="D57" s="6" t="e">
        <f>C57/C63</f>
        <v>#DIV/0!</v>
      </c>
    </row>
    <row r="58" spans="2:4" x14ac:dyDescent="0.25">
      <c r="B58" s="4" t="s">
        <v>912</v>
      </c>
      <c r="C58" s="5">
        <f>COUNTIF(Data!EP:EP,"*Stolen*")</f>
        <v>0</v>
      </c>
      <c r="D58" s="6" t="e">
        <f>C58/C63</f>
        <v>#DIV/0!</v>
      </c>
    </row>
    <row r="59" spans="2:4" x14ac:dyDescent="0.25">
      <c r="B59" s="71" t="s">
        <v>913</v>
      </c>
      <c r="C59" s="5">
        <f>COUNTIF(Data!EP:EP,"*Exchanged*")</f>
        <v>0</v>
      </c>
      <c r="D59" s="6" t="e">
        <f>C59/C63</f>
        <v>#DIV/0!</v>
      </c>
    </row>
    <row r="60" spans="2:4" x14ac:dyDescent="0.25">
      <c r="B60" s="4" t="s">
        <v>914</v>
      </c>
      <c r="C60" s="5">
        <f>COUNTIF(Data!EP:EP,"*Gifted*")</f>
        <v>0</v>
      </c>
      <c r="D60" s="6" t="e">
        <f>C60/C63</f>
        <v>#DIV/0!</v>
      </c>
    </row>
    <row r="61" spans="2:4" x14ac:dyDescent="0.25">
      <c r="B61" s="4" t="s">
        <v>915</v>
      </c>
      <c r="C61" s="5">
        <f>COUNTIF(Data!EP:EP,"*Destroyed*")</f>
        <v>0</v>
      </c>
      <c r="D61" s="6" t="e">
        <f>C61/C63</f>
        <v>#DIV/0!</v>
      </c>
    </row>
    <row r="62" spans="2:4" x14ac:dyDescent="0.25">
      <c r="B62" s="16" t="s">
        <v>916</v>
      </c>
      <c r="C62" s="14">
        <f>COUNTIF(Data!EP:EP,"*Lost*")</f>
        <v>0</v>
      </c>
      <c r="D62" s="15" t="e">
        <f>C62/C63</f>
        <v>#DIV/0!</v>
      </c>
    </row>
    <row r="63" spans="2:4" x14ac:dyDescent="0.25">
      <c r="B63" s="21" t="s">
        <v>812</v>
      </c>
      <c r="C63" s="14">
        <f>SUM(C55:C62)</f>
        <v>0</v>
      </c>
      <c r="D63" s="15" t="e">
        <f>SUM(D55:D62)</f>
        <v>#DIV/0!</v>
      </c>
    </row>
    <row r="64" spans="2:4" x14ac:dyDescent="0.25">
      <c r="B64" s="59" t="s">
        <v>813</v>
      </c>
      <c r="C64" s="68">
        <f>COUNTIF(Data!EP5:EP9999,"*i*")</f>
        <v>0</v>
      </c>
      <c r="D64" s="15"/>
    </row>
    <row r="66" spans="2:4" x14ac:dyDescent="0.25">
      <c r="B66" t="s">
        <v>84</v>
      </c>
    </row>
    <row r="67" spans="2:4" x14ac:dyDescent="0.25">
      <c r="B67" s="10" t="s">
        <v>926</v>
      </c>
      <c r="C67" s="11" t="s">
        <v>755</v>
      </c>
      <c r="D67" s="12" t="s">
        <v>748</v>
      </c>
    </row>
    <row r="68" spans="2:4" x14ac:dyDescent="0.25">
      <c r="B68" s="16" t="s">
        <v>919</v>
      </c>
      <c r="C68" s="72" t="e">
        <f>AVERAGE(Data!EQ:EQ)</f>
        <v>#DIV/0!</v>
      </c>
      <c r="D68" s="25"/>
    </row>
    <row r="70" spans="2:4" x14ac:dyDescent="0.25">
      <c r="B70" t="s">
        <v>93</v>
      </c>
    </row>
    <row r="71" spans="2:4" x14ac:dyDescent="0.25">
      <c r="B71" s="10" t="s">
        <v>927</v>
      </c>
      <c r="C71" s="11" t="s">
        <v>755</v>
      </c>
      <c r="D71" s="12" t="s">
        <v>748</v>
      </c>
    </row>
    <row r="72" spans="2:4" x14ac:dyDescent="0.25">
      <c r="B72" s="4" t="s">
        <v>909</v>
      </c>
      <c r="C72" s="5">
        <f>COUNTIF(Data!EU:EU,"*Kept_Consumed_Used*")</f>
        <v>0</v>
      </c>
      <c r="D72" s="6" t="e">
        <f>C72/C80</f>
        <v>#DIV/0!</v>
      </c>
    </row>
    <row r="73" spans="2:4" x14ac:dyDescent="0.25">
      <c r="B73" s="4" t="s">
        <v>910</v>
      </c>
      <c r="C73" s="5">
        <f>COUNTIF(Data!EU:EU,"*Loaned*")</f>
        <v>0</v>
      </c>
      <c r="D73" s="6" t="e">
        <f>C73/C80</f>
        <v>#DIV/0!</v>
      </c>
    </row>
    <row r="74" spans="2:4" x14ac:dyDescent="0.25">
      <c r="B74" s="4" t="s">
        <v>911</v>
      </c>
      <c r="C74" s="5">
        <f>COUNTIF(Data!EU:EU,"*Sold*")</f>
        <v>0</v>
      </c>
      <c r="D74" s="6" t="e">
        <f>C74/C80</f>
        <v>#DIV/0!</v>
      </c>
    </row>
    <row r="75" spans="2:4" x14ac:dyDescent="0.25">
      <c r="B75" s="4" t="s">
        <v>912</v>
      </c>
      <c r="C75" s="5">
        <f>COUNTIF(Data!EU:EU,"*Stolen*")</f>
        <v>0</v>
      </c>
      <c r="D75" s="6" t="e">
        <f>C75/C80</f>
        <v>#DIV/0!</v>
      </c>
    </row>
    <row r="76" spans="2:4" x14ac:dyDescent="0.25">
      <c r="B76" s="71" t="s">
        <v>913</v>
      </c>
      <c r="C76" s="5">
        <f>COUNTIF(Data!EU:EU,"*Exchanged*")</f>
        <v>0</v>
      </c>
      <c r="D76" s="6" t="e">
        <f>C76/C80</f>
        <v>#DIV/0!</v>
      </c>
    </row>
    <row r="77" spans="2:4" x14ac:dyDescent="0.25">
      <c r="B77" s="4" t="s">
        <v>914</v>
      </c>
      <c r="C77" s="5">
        <f>COUNTIF(Data!EU:EU,"*Gifted*")</f>
        <v>0</v>
      </c>
      <c r="D77" s="6" t="e">
        <f>C77/C80</f>
        <v>#DIV/0!</v>
      </c>
    </row>
    <row r="78" spans="2:4" x14ac:dyDescent="0.25">
      <c r="B78" s="4" t="s">
        <v>915</v>
      </c>
      <c r="C78" s="5">
        <f>COUNTIF(Data!EU:EU,"*Destroyed*")</f>
        <v>0</v>
      </c>
      <c r="D78" s="6" t="e">
        <f>C78/C80</f>
        <v>#DIV/0!</v>
      </c>
    </row>
    <row r="79" spans="2:4" x14ac:dyDescent="0.25">
      <c r="B79" s="16" t="s">
        <v>916</v>
      </c>
      <c r="C79" s="14">
        <f>COUNTIF(Data!EU:EU,"*Lost*")</f>
        <v>0</v>
      </c>
      <c r="D79" s="15" t="e">
        <f>C79/C80</f>
        <v>#DIV/0!</v>
      </c>
    </row>
    <row r="80" spans="2:4" x14ac:dyDescent="0.25">
      <c r="B80" s="21" t="s">
        <v>812</v>
      </c>
      <c r="C80" s="14">
        <f>SUM(C72:C79)</f>
        <v>0</v>
      </c>
      <c r="D80" s="15" t="e">
        <f>SUM(D72:D79)</f>
        <v>#DIV/0!</v>
      </c>
    </row>
    <row r="81" spans="2:4" x14ac:dyDescent="0.25">
      <c r="B81" s="59" t="s">
        <v>813</v>
      </c>
      <c r="C81" s="68">
        <f>COUNTIF(Data!EU5:EU9999,"*i*")</f>
        <v>0</v>
      </c>
      <c r="D81" s="15"/>
    </row>
    <row r="83" spans="2:4" x14ac:dyDescent="0.25">
      <c r="B83" t="s">
        <v>84</v>
      </c>
    </row>
    <row r="84" spans="2:4" x14ac:dyDescent="0.25">
      <c r="B84" s="10" t="s">
        <v>928</v>
      </c>
      <c r="C84" s="11" t="s">
        <v>755</v>
      </c>
      <c r="D84" s="12" t="s">
        <v>748</v>
      </c>
    </row>
    <row r="85" spans="2:4" x14ac:dyDescent="0.25">
      <c r="B85" s="16" t="s">
        <v>919</v>
      </c>
      <c r="C85" s="72" t="e">
        <f>AVERAGE(Data!EV:EV)</f>
        <v>#DIV/0!</v>
      </c>
      <c r="D85" s="25"/>
    </row>
    <row r="87" spans="2:4" x14ac:dyDescent="0.25">
      <c r="B87" t="s">
        <v>95</v>
      </c>
    </row>
    <row r="88" spans="2:4" x14ac:dyDescent="0.25">
      <c r="B88" s="10" t="s">
        <v>929</v>
      </c>
      <c r="C88" s="11" t="s">
        <v>755</v>
      </c>
      <c r="D88" s="12" t="s">
        <v>748</v>
      </c>
    </row>
    <row r="89" spans="2:4" x14ac:dyDescent="0.25">
      <c r="B89" s="4" t="s">
        <v>909</v>
      </c>
      <c r="C89" s="5">
        <f>COUNTIF(Data!EZ:EZ,"*Kept_Consumed_Used*")</f>
        <v>0</v>
      </c>
      <c r="D89" s="6" t="e">
        <f>C89/C97</f>
        <v>#DIV/0!</v>
      </c>
    </row>
    <row r="90" spans="2:4" x14ac:dyDescent="0.25">
      <c r="B90" s="4" t="s">
        <v>910</v>
      </c>
      <c r="C90" s="5">
        <f>COUNTIF(Data!EZ:EZ,"*Loaned*")</f>
        <v>0</v>
      </c>
      <c r="D90" s="6" t="e">
        <f>C90/C97</f>
        <v>#DIV/0!</v>
      </c>
    </row>
    <row r="91" spans="2:4" x14ac:dyDescent="0.25">
      <c r="B91" s="4" t="s">
        <v>911</v>
      </c>
      <c r="C91" s="5">
        <f>COUNTIF(Data!EZ:EZ,"*Sold*")</f>
        <v>0</v>
      </c>
      <c r="D91" s="6" t="e">
        <f>C91/C97</f>
        <v>#DIV/0!</v>
      </c>
    </row>
    <row r="92" spans="2:4" x14ac:dyDescent="0.25">
      <c r="B92" s="4" t="s">
        <v>912</v>
      </c>
      <c r="C92" s="5">
        <f>COUNTIF(Data!EZ:EZ,"*Stolen*")</f>
        <v>0</v>
      </c>
      <c r="D92" s="6" t="e">
        <f>C92/C97</f>
        <v>#DIV/0!</v>
      </c>
    </row>
    <row r="93" spans="2:4" x14ac:dyDescent="0.25">
      <c r="B93" s="71" t="s">
        <v>913</v>
      </c>
      <c r="C93" s="5">
        <f>COUNTIF(Data!EZ:EZ,"*Exchanged*")</f>
        <v>0</v>
      </c>
      <c r="D93" s="6" t="e">
        <f>C93/C97</f>
        <v>#DIV/0!</v>
      </c>
    </row>
    <row r="94" spans="2:4" x14ac:dyDescent="0.25">
      <c r="B94" s="4" t="s">
        <v>914</v>
      </c>
      <c r="C94" s="5">
        <f>COUNTIF(Data!EZ:EZ,"*Gifted*")</f>
        <v>0</v>
      </c>
      <c r="D94" s="6" t="e">
        <f>C94/C97</f>
        <v>#DIV/0!</v>
      </c>
    </row>
    <row r="95" spans="2:4" x14ac:dyDescent="0.25">
      <c r="B95" s="4" t="s">
        <v>915</v>
      </c>
      <c r="C95" s="5">
        <f>COUNTIF(Data!EZ:EZ,"*Destroyed*")</f>
        <v>0</v>
      </c>
      <c r="D95" s="6" t="e">
        <f>C95/C97</f>
        <v>#DIV/0!</v>
      </c>
    </row>
    <row r="96" spans="2:4" x14ac:dyDescent="0.25">
      <c r="B96" s="16" t="s">
        <v>916</v>
      </c>
      <c r="C96" s="14">
        <f>COUNTIF(Data!EZ:EZ,"*Lost*")</f>
        <v>0</v>
      </c>
      <c r="D96" s="15" t="e">
        <f>C96/C97</f>
        <v>#DIV/0!</v>
      </c>
    </row>
    <row r="97" spans="2:4" x14ac:dyDescent="0.25">
      <c r="B97" s="21" t="s">
        <v>812</v>
      </c>
      <c r="C97" s="14">
        <f>SUM(C89:C96)</f>
        <v>0</v>
      </c>
      <c r="D97" s="15" t="e">
        <f>SUM(D89:D96)</f>
        <v>#DIV/0!</v>
      </c>
    </row>
    <row r="98" spans="2:4" x14ac:dyDescent="0.25">
      <c r="B98" s="59" t="s">
        <v>813</v>
      </c>
      <c r="C98" s="68">
        <f>COUNTIF(Data!EZ5:EZ9999,"*i*")</f>
        <v>0</v>
      </c>
      <c r="D98" s="15"/>
    </row>
    <row r="100" spans="2:4" x14ac:dyDescent="0.25">
      <c r="B100" t="s">
        <v>84</v>
      </c>
    </row>
    <row r="101" spans="2:4" x14ac:dyDescent="0.25">
      <c r="B101" s="10" t="s">
        <v>930</v>
      </c>
      <c r="C101" s="11" t="s">
        <v>755</v>
      </c>
      <c r="D101" s="12" t="s">
        <v>748</v>
      </c>
    </row>
    <row r="102" spans="2:4" x14ac:dyDescent="0.25">
      <c r="B102" s="16" t="s">
        <v>919</v>
      </c>
      <c r="C102" s="72" t="e">
        <f>AVERAGE(Data!FA:FA)</f>
        <v>#DIV/0!</v>
      </c>
      <c r="D102" s="25"/>
    </row>
    <row r="104" spans="2:4" x14ac:dyDescent="0.25">
      <c r="B104" t="s">
        <v>931</v>
      </c>
    </row>
    <row r="105" spans="2:4" x14ac:dyDescent="0.25">
      <c r="B105" s="10" t="s">
        <v>932</v>
      </c>
      <c r="C105" s="11" t="s">
        <v>755</v>
      </c>
      <c r="D105" s="12" t="s">
        <v>748</v>
      </c>
    </row>
    <row r="106" spans="2:4" x14ac:dyDescent="0.25">
      <c r="B106" s="4" t="s">
        <v>909</v>
      </c>
      <c r="C106" s="5">
        <f>COUNTIF(Data!FJ:FJ,"*Kept_Consumed_Used*")</f>
        <v>0</v>
      </c>
      <c r="D106" s="6" t="e">
        <f>C106/C114</f>
        <v>#DIV/0!</v>
      </c>
    </row>
    <row r="107" spans="2:4" x14ac:dyDescent="0.25">
      <c r="B107" s="4" t="s">
        <v>910</v>
      </c>
      <c r="C107" s="5">
        <f>COUNTIF(Data!FJ:FJ,"*Loaned*")</f>
        <v>0</v>
      </c>
      <c r="D107" s="6" t="e">
        <f>C107/C114</f>
        <v>#DIV/0!</v>
      </c>
    </row>
    <row r="108" spans="2:4" x14ac:dyDescent="0.25">
      <c r="B108" s="4" t="s">
        <v>911</v>
      </c>
      <c r="C108" s="5">
        <f>COUNTIF(Data!FJ:FJ,"*Sold*")</f>
        <v>0</v>
      </c>
      <c r="D108" s="6" t="e">
        <f>C108/C114</f>
        <v>#DIV/0!</v>
      </c>
    </row>
    <row r="109" spans="2:4" x14ac:dyDescent="0.25">
      <c r="B109" s="4" t="s">
        <v>912</v>
      </c>
      <c r="C109" s="5">
        <f>COUNTIF(Data!FJ:FJ,"*Stolen*")</f>
        <v>0</v>
      </c>
      <c r="D109" s="6" t="e">
        <f>C109/C114</f>
        <v>#DIV/0!</v>
      </c>
    </row>
    <row r="110" spans="2:4" x14ac:dyDescent="0.25">
      <c r="B110" s="71" t="s">
        <v>913</v>
      </c>
      <c r="C110" s="5">
        <f>COUNTIF(Data!FJ:FJ,"*Exchanged*")</f>
        <v>0</v>
      </c>
      <c r="D110" s="6" t="e">
        <f>C110/C114</f>
        <v>#DIV/0!</v>
      </c>
    </row>
    <row r="111" spans="2:4" x14ac:dyDescent="0.25">
      <c r="B111" s="4" t="s">
        <v>914</v>
      </c>
      <c r="C111" s="5">
        <f>COUNTIF(Data!FJ:FJ,"*Gifted*")</f>
        <v>0</v>
      </c>
      <c r="D111" s="6" t="e">
        <f>C111/C114</f>
        <v>#DIV/0!</v>
      </c>
    </row>
    <row r="112" spans="2:4" x14ac:dyDescent="0.25">
      <c r="B112" s="4" t="s">
        <v>915</v>
      </c>
      <c r="C112" s="5">
        <f>COUNTIF(Data!FJ:FJ,"*Destroyed*")</f>
        <v>0</v>
      </c>
      <c r="D112" s="6" t="e">
        <f>C112/C114</f>
        <v>#DIV/0!</v>
      </c>
    </row>
    <row r="113" spans="2:4" x14ac:dyDescent="0.25">
      <c r="B113" s="16" t="s">
        <v>916</v>
      </c>
      <c r="C113" s="14">
        <f>COUNTIF(Data!FJ:FJ,"*Lost*")</f>
        <v>0</v>
      </c>
      <c r="D113" s="15" t="e">
        <f>C113/C114</f>
        <v>#DIV/0!</v>
      </c>
    </row>
    <row r="114" spans="2:4" x14ac:dyDescent="0.25">
      <c r="B114" s="21" t="s">
        <v>812</v>
      </c>
      <c r="C114" s="14">
        <f>SUM(C106:C113)</f>
        <v>0</v>
      </c>
      <c r="D114" s="15" t="e">
        <f>SUM(D106:D113)</f>
        <v>#DIV/0!</v>
      </c>
    </row>
    <row r="115" spans="2:4" x14ac:dyDescent="0.25">
      <c r="B115" s="59" t="s">
        <v>813</v>
      </c>
      <c r="C115" s="68">
        <f>COUNTIF(Data!FJ5:FJ9999,"*i*")</f>
        <v>0</v>
      </c>
      <c r="D115" s="15"/>
    </row>
    <row r="117" spans="2:4" x14ac:dyDescent="0.25">
      <c r="B117" t="s">
        <v>84</v>
      </c>
    </row>
    <row r="118" spans="2:4" x14ac:dyDescent="0.25">
      <c r="B118" s="10" t="s">
        <v>933</v>
      </c>
      <c r="C118" s="11" t="s">
        <v>755</v>
      </c>
      <c r="D118" s="12" t="s">
        <v>748</v>
      </c>
    </row>
    <row r="119" spans="2:4" x14ac:dyDescent="0.25">
      <c r="B119" s="16" t="s">
        <v>919</v>
      </c>
      <c r="C119" s="72" t="e">
        <f>AVERAGE(Data!FK:FK)</f>
        <v>#DIV/0!</v>
      </c>
      <c r="D119" s="25"/>
    </row>
    <row r="121" spans="2:4" x14ac:dyDescent="0.25">
      <c r="B121" t="s">
        <v>97</v>
      </c>
    </row>
    <row r="122" spans="2:4" x14ac:dyDescent="0.25">
      <c r="B122" s="10" t="s">
        <v>934</v>
      </c>
      <c r="C122" s="11" t="s">
        <v>755</v>
      </c>
      <c r="D122" s="12" t="s">
        <v>748</v>
      </c>
    </row>
    <row r="123" spans="2:4" x14ac:dyDescent="0.25">
      <c r="B123" s="4" t="s">
        <v>909</v>
      </c>
      <c r="C123" s="5">
        <f>COUNTIF(Data!FE:FE,"*Kept_Consumed_Used*")</f>
        <v>0</v>
      </c>
      <c r="D123" s="6" t="e">
        <f>C123/C131</f>
        <v>#DIV/0!</v>
      </c>
    </row>
    <row r="124" spans="2:4" x14ac:dyDescent="0.25">
      <c r="B124" s="4" t="s">
        <v>910</v>
      </c>
      <c r="C124" s="5">
        <f>COUNTIF(Data!FE:FE,"*Loaned*")</f>
        <v>0</v>
      </c>
      <c r="D124" s="6" t="e">
        <f>C124/C131</f>
        <v>#DIV/0!</v>
      </c>
    </row>
    <row r="125" spans="2:4" x14ac:dyDescent="0.25">
      <c r="B125" s="4" t="s">
        <v>911</v>
      </c>
      <c r="C125" s="5">
        <f>COUNTIF(Data!FE:FE,"*Sold*")</f>
        <v>0</v>
      </c>
      <c r="D125" s="6" t="e">
        <f>C125/C131</f>
        <v>#DIV/0!</v>
      </c>
    </row>
    <row r="126" spans="2:4" x14ac:dyDescent="0.25">
      <c r="B126" s="4" t="s">
        <v>912</v>
      </c>
      <c r="C126" s="5">
        <f>COUNTIF(Data!FE:FE,"*Stolen*")</f>
        <v>0</v>
      </c>
      <c r="D126" s="6" t="e">
        <f>C126/C131</f>
        <v>#DIV/0!</v>
      </c>
    </row>
    <row r="127" spans="2:4" x14ac:dyDescent="0.25">
      <c r="B127" s="71" t="s">
        <v>913</v>
      </c>
      <c r="C127" s="5">
        <f>COUNTIF(Data!FE:FE,"*Exchanged*")</f>
        <v>0</v>
      </c>
      <c r="D127" s="6" t="e">
        <f>C127/C131</f>
        <v>#DIV/0!</v>
      </c>
    </row>
    <row r="128" spans="2:4" x14ac:dyDescent="0.25">
      <c r="B128" s="4" t="s">
        <v>914</v>
      </c>
      <c r="C128" s="5">
        <f>COUNTIF(Data!FE:FE,"*Gifted*")</f>
        <v>0</v>
      </c>
      <c r="D128" s="6" t="e">
        <f>C128/C131</f>
        <v>#DIV/0!</v>
      </c>
    </row>
    <row r="129" spans="2:4" x14ac:dyDescent="0.25">
      <c r="B129" s="4" t="s">
        <v>915</v>
      </c>
      <c r="C129" s="5">
        <f>COUNTIF(Data!FE:FE,"*Destroyed*")</f>
        <v>0</v>
      </c>
      <c r="D129" s="6" t="e">
        <f>C129/C131</f>
        <v>#DIV/0!</v>
      </c>
    </row>
    <row r="130" spans="2:4" x14ac:dyDescent="0.25">
      <c r="B130" s="16" t="s">
        <v>916</v>
      </c>
      <c r="C130" s="14">
        <f>COUNTIF(Data!FE:FE,"*Lost*")</f>
        <v>0</v>
      </c>
      <c r="D130" s="15" t="e">
        <f>C130/C131</f>
        <v>#DIV/0!</v>
      </c>
    </row>
    <row r="131" spans="2:4" x14ac:dyDescent="0.25">
      <c r="B131" s="21" t="s">
        <v>812</v>
      </c>
      <c r="C131" s="14">
        <f>SUM(C123:C130)</f>
        <v>0</v>
      </c>
      <c r="D131" s="15" t="e">
        <f>SUM(D123:D130)</f>
        <v>#DIV/0!</v>
      </c>
    </row>
    <row r="132" spans="2:4" x14ac:dyDescent="0.25">
      <c r="B132" s="59" t="s">
        <v>813</v>
      </c>
      <c r="C132" s="68">
        <f>COUNTIF(Data!FE5:FE9999,"*i*")</f>
        <v>0</v>
      </c>
      <c r="D132" s="15"/>
    </row>
    <row r="134" spans="2:4" x14ac:dyDescent="0.25">
      <c r="B134" t="s">
        <v>84</v>
      </c>
    </row>
    <row r="135" spans="2:4" x14ac:dyDescent="0.25">
      <c r="B135" s="10" t="s">
        <v>935</v>
      </c>
      <c r="C135" s="11" t="s">
        <v>755</v>
      </c>
      <c r="D135" s="12" t="s">
        <v>748</v>
      </c>
    </row>
    <row r="136" spans="2:4" x14ac:dyDescent="0.25">
      <c r="B136" s="16" t="s">
        <v>919</v>
      </c>
      <c r="C136" s="72" t="e">
        <f>AVERAGE(Data!FF:FF)</f>
        <v>#DIV/0!</v>
      </c>
      <c r="D136" s="25"/>
    </row>
    <row r="138" spans="2:4" x14ac:dyDescent="0.25">
      <c r="B138" t="s">
        <v>309</v>
      </c>
    </row>
    <row r="139" spans="2:4" x14ac:dyDescent="0.25">
      <c r="B139" s="1" t="s">
        <v>972</v>
      </c>
      <c r="C139" s="2" t="s">
        <v>747</v>
      </c>
      <c r="D139" s="3" t="s">
        <v>748</v>
      </c>
    </row>
    <row r="140" spans="2:4" x14ac:dyDescent="0.25">
      <c r="B140" s="4" t="s">
        <v>749</v>
      </c>
      <c r="C140" s="5">
        <f>COUNTIF(Data!PN:PN,"Yes")</f>
        <v>0</v>
      </c>
      <c r="D140" s="6" t="e">
        <f>C140/C142</f>
        <v>#DIV/0!</v>
      </c>
    </row>
    <row r="141" spans="2:4" x14ac:dyDescent="0.25">
      <c r="B141" s="4" t="s">
        <v>750</v>
      </c>
      <c r="C141" s="5">
        <f>COUNTIF(Data!PN:PN,"No")</f>
        <v>0</v>
      </c>
      <c r="D141" s="6" t="e">
        <f>C141/C142</f>
        <v>#DIV/0!</v>
      </c>
    </row>
    <row r="142" spans="2:4" x14ac:dyDescent="0.25">
      <c r="B142" s="7" t="s">
        <v>751</v>
      </c>
      <c r="C142" s="8">
        <f>SUM(C140:C141)</f>
        <v>0</v>
      </c>
      <c r="D142" s="9" t="e">
        <f>SUM(D140:D141)</f>
        <v>#DIV/0!</v>
      </c>
    </row>
    <row r="144" spans="2:4" x14ac:dyDescent="0.25">
      <c r="B144" t="s">
        <v>70</v>
      </c>
    </row>
    <row r="145" spans="2:4" x14ac:dyDescent="0.25">
      <c r="B145" s="1" t="s">
        <v>973</v>
      </c>
      <c r="C145" s="2" t="s">
        <v>747</v>
      </c>
      <c r="D145" s="3" t="s">
        <v>748</v>
      </c>
    </row>
    <row r="146" spans="2:4" x14ac:dyDescent="0.25">
      <c r="B146" s="76" t="s">
        <v>974</v>
      </c>
      <c r="C146" s="5">
        <f>COUNTIF(Data!PO:PO,"*Shelter support*")</f>
        <v>0</v>
      </c>
      <c r="D146" s="6" t="e">
        <f>C146/C151</f>
        <v>#DIV/0!</v>
      </c>
    </row>
    <row r="147" spans="2:4" x14ac:dyDescent="0.25">
      <c r="B147" s="76" t="s">
        <v>970</v>
      </c>
      <c r="C147" s="5">
        <f>COUNTIF(Data!PO:PO,"*Partition*")</f>
        <v>0</v>
      </c>
      <c r="D147" s="6" t="e">
        <f>C147/C151</f>
        <v>#DIV/0!</v>
      </c>
    </row>
    <row r="148" spans="2:4" x14ac:dyDescent="0.25">
      <c r="B148" s="76" t="s">
        <v>971</v>
      </c>
      <c r="C148" s="5">
        <f>COUNTIF(Data!PO:PO,"*Storage*")</f>
        <v>0</v>
      </c>
      <c r="D148" s="6" t="e">
        <f>C148/C151</f>
        <v>#DIV/0!</v>
      </c>
    </row>
    <row r="149" spans="2:4" x14ac:dyDescent="0.25">
      <c r="B149" s="76" t="s">
        <v>975</v>
      </c>
      <c r="C149" s="5">
        <f>COUNTIF(Data!PO:PO,"*Weather_protection*")</f>
        <v>0</v>
      </c>
      <c r="D149" s="6" t="e">
        <f>C149/C151</f>
        <v>#DIV/0!</v>
      </c>
    </row>
    <row r="150" spans="2:4" x14ac:dyDescent="0.25">
      <c r="B150" s="77" t="s">
        <v>770</v>
      </c>
      <c r="C150" s="14">
        <f>COUNTIF(Data!PO:PO,"*Other*")</f>
        <v>0</v>
      </c>
      <c r="D150" s="15" t="e">
        <f>C150/C151</f>
        <v>#DIV/0!</v>
      </c>
    </row>
    <row r="151" spans="2:4" x14ac:dyDescent="0.25">
      <c r="B151" s="77" t="s">
        <v>751</v>
      </c>
      <c r="C151" s="14">
        <f>SUM(C146:C150)</f>
        <v>0</v>
      </c>
      <c r="D151" s="23" t="e">
        <f>SUM(D146:D150)</f>
        <v>#DIV/0!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workbookViewId="0"/>
  </sheetViews>
  <sheetFormatPr defaultRowHeight="15" x14ac:dyDescent="0.25"/>
  <cols>
    <col min="2" max="2" width="32.42578125" customWidth="1"/>
    <col min="3" max="3" width="13" customWidth="1"/>
    <col min="4" max="4" width="13.42578125" customWidth="1"/>
  </cols>
  <sheetData>
    <row r="1" spans="1:4" s="128" customFormat="1" ht="16.5" customHeight="1" x14ac:dyDescent="0.25">
      <c r="A1" s="127">
        <v>12</v>
      </c>
      <c r="B1" s="128" t="s">
        <v>741</v>
      </c>
    </row>
    <row r="3" spans="1:4" x14ac:dyDescent="0.25">
      <c r="B3" t="s">
        <v>936</v>
      </c>
    </row>
    <row r="4" spans="1:4" x14ac:dyDescent="0.25">
      <c r="B4" s="1" t="s">
        <v>943</v>
      </c>
      <c r="C4" s="2" t="s">
        <v>747</v>
      </c>
      <c r="D4" s="3" t="s">
        <v>748</v>
      </c>
    </row>
    <row r="5" spans="1:4" x14ac:dyDescent="0.25">
      <c r="B5" s="4" t="s">
        <v>937</v>
      </c>
      <c r="C5" s="27">
        <f>COUNTIF(Data!HG:HG,"very_good")</f>
        <v>0</v>
      </c>
      <c r="D5" s="28" t="e">
        <f>C5/C11</f>
        <v>#DIV/0!</v>
      </c>
    </row>
    <row r="6" spans="1:4" x14ac:dyDescent="0.25">
      <c r="B6" s="4" t="s">
        <v>938</v>
      </c>
      <c r="C6" s="5">
        <f>COUNTIF(Data!HG:HG,"very_good")</f>
        <v>0</v>
      </c>
      <c r="D6" s="6" t="e">
        <f>C6/C11</f>
        <v>#DIV/0!</v>
      </c>
    </row>
    <row r="7" spans="1:4" x14ac:dyDescent="0.25">
      <c r="B7" s="4" t="s">
        <v>939</v>
      </c>
      <c r="C7" s="5">
        <f>COUNTIF(Data!HG:HG,"fair")</f>
        <v>0</v>
      </c>
      <c r="D7" s="6" t="e">
        <f>C7/C11</f>
        <v>#DIV/0!</v>
      </c>
    </row>
    <row r="8" spans="1:4" x14ac:dyDescent="0.25">
      <c r="B8" s="4" t="s">
        <v>940</v>
      </c>
      <c r="C8" s="5">
        <f>COUNTIF(Data!HG:HG,"bad")</f>
        <v>0</v>
      </c>
      <c r="D8" s="6" t="e">
        <f>C8/C11</f>
        <v>#DIV/0!</v>
      </c>
    </row>
    <row r="9" spans="1:4" x14ac:dyDescent="0.25">
      <c r="B9" s="4" t="s">
        <v>941</v>
      </c>
      <c r="C9" s="5">
        <f>COUNTIF(Data!HG:HG,"very_bad")</f>
        <v>0</v>
      </c>
      <c r="D9" s="6" t="e">
        <f>C9/C11</f>
        <v>#DIV/0!</v>
      </c>
    </row>
    <row r="10" spans="1:4" x14ac:dyDescent="0.25">
      <c r="B10" s="13" t="s">
        <v>942</v>
      </c>
      <c r="C10" s="14">
        <f>COUNTIF(Data!HG:HG,"dont_know")</f>
        <v>0</v>
      </c>
      <c r="D10" s="15" t="e">
        <f>C10/C11</f>
        <v>#DIV/0!</v>
      </c>
    </row>
    <row r="11" spans="1:4" x14ac:dyDescent="0.25">
      <c r="B11" s="13" t="s">
        <v>751</v>
      </c>
      <c r="C11" s="14">
        <f>SUM(C5:C10)</f>
        <v>0</v>
      </c>
      <c r="D11" s="23" t="e">
        <f>SUM(D5:D10)</f>
        <v>#DIV/0!</v>
      </c>
    </row>
    <row r="13" spans="1:4" x14ac:dyDescent="0.25">
      <c r="B13" t="s">
        <v>138</v>
      </c>
    </row>
    <row r="14" spans="1:4" x14ac:dyDescent="0.25">
      <c r="B14" s="1" t="s">
        <v>1332</v>
      </c>
      <c r="C14" s="2" t="s">
        <v>747</v>
      </c>
      <c r="D14" s="3" t="s">
        <v>748</v>
      </c>
    </row>
    <row r="15" spans="1:4" x14ac:dyDescent="0.25">
      <c r="B15" s="4" t="s">
        <v>749</v>
      </c>
      <c r="C15" s="5">
        <f>COUNTIF(Data!HH:HH,"Yes")</f>
        <v>0</v>
      </c>
      <c r="D15" s="6" t="e">
        <f>C15/C17</f>
        <v>#DIV/0!</v>
      </c>
    </row>
    <row r="16" spans="1:4" x14ac:dyDescent="0.25">
      <c r="B16" s="4" t="s">
        <v>750</v>
      </c>
      <c r="C16" s="5">
        <f>COUNTIF(Data!HH:HH,"No")</f>
        <v>0</v>
      </c>
      <c r="D16" s="6" t="e">
        <f>C16/C17</f>
        <v>#DIV/0!</v>
      </c>
    </row>
    <row r="17" spans="2:4" x14ac:dyDescent="0.25">
      <c r="B17" s="7" t="s">
        <v>751</v>
      </c>
      <c r="C17" s="8">
        <f>SUM(C15:C16)</f>
        <v>0</v>
      </c>
      <c r="D17" s="9" t="e">
        <f>SUM(D15:D16)</f>
        <v>#DIV/0!</v>
      </c>
    </row>
    <row r="19" spans="2:4" x14ac:dyDescent="0.25">
      <c r="B19" t="s">
        <v>139</v>
      </c>
    </row>
    <row r="20" spans="2:4" x14ac:dyDescent="0.25">
      <c r="B20" s="35" t="s">
        <v>944</v>
      </c>
      <c r="C20" s="36" t="s">
        <v>747</v>
      </c>
      <c r="D20" s="37" t="s">
        <v>748</v>
      </c>
    </row>
    <row r="21" spans="2:4" x14ac:dyDescent="0.25">
      <c r="B21" s="20" t="s">
        <v>945</v>
      </c>
      <c r="C21" s="5">
        <f>COUNTIF(Data!HI:HI,"at_the_market")</f>
        <v>0</v>
      </c>
      <c r="D21" s="6" t="e">
        <f>C21/C27</f>
        <v>#DIV/0!</v>
      </c>
    </row>
    <row r="22" spans="2:4" x14ac:dyDescent="0.25">
      <c r="B22" s="20" t="s">
        <v>946</v>
      </c>
      <c r="C22" s="5">
        <f>COUNTIF(Data!HI:HI,"at_their_house")</f>
        <v>0</v>
      </c>
      <c r="D22" s="6" t="e">
        <f>C22/C27</f>
        <v>#DIV/0!</v>
      </c>
    </row>
    <row r="23" spans="2:4" x14ac:dyDescent="0.25">
      <c r="B23" s="20" t="s">
        <v>947</v>
      </c>
      <c r="C23" s="5">
        <f>COUNTIF(Data!HI:HI,"in_conversation")</f>
        <v>0</v>
      </c>
      <c r="D23" s="6" t="e">
        <f>C23/C27</f>
        <v>#DIV/0!</v>
      </c>
    </row>
    <row r="24" spans="2:4" x14ac:dyDescent="0.25">
      <c r="B24" s="20" t="s">
        <v>948</v>
      </c>
      <c r="C24" s="5">
        <f>COUNTIF(Data!HI:HI,"in_meetings")</f>
        <v>0</v>
      </c>
      <c r="D24" s="6" t="e">
        <f>C24/C27</f>
        <v>#DIV/0!</v>
      </c>
    </row>
    <row r="25" spans="2:4" x14ac:dyDescent="0.25">
      <c r="B25" s="20" t="s">
        <v>949</v>
      </c>
      <c r="C25" s="5">
        <f>COUNTIF(Data!HI:HI,"in_community_centre")</f>
        <v>0</v>
      </c>
      <c r="D25" s="6" t="e">
        <f>C25/C27</f>
        <v>#DIV/0!</v>
      </c>
    </row>
    <row r="26" spans="2:4" x14ac:dyDescent="0.25">
      <c r="B26" s="21" t="s">
        <v>770</v>
      </c>
      <c r="C26" s="14">
        <f>COUNTIF(Data!HI:HI,"Other")</f>
        <v>0</v>
      </c>
      <c r="D26" s="15" t="e">
        <f>C26/C27</f>
        <v>#DIV/0!</v>
      </c>
    </row>
    <row r="27" spans="2:4" x14ac:dyDescent="0.25">
      <c r="B27" s="59" t="s">
        <v>751</v>
      </c>
      <c r="C27" s="14">
        <f>SUM(C21:C26)</f>
        <v>0</v>
      </c>
      <c r="D27" s="15" t="e">
        <f>SUM(D21:D26)</f>
        <v>#DIV/0!</v>
      </c>
    </row>
    <row r="28" spans="2:4" x14ac:dyDescent="0.25">
      <c r="B28" s="64"/>
      <c r="C28" s="5"/>
      <c r="D28" s="31"/>
    </row>
    <row r="29" spans="2:4" x14ac:dyDescent="0.25">
      <c r="B29" t="s">
        <v>140</v>
      </c>
    </row>
    <row r="30" spans="2:4" x14ac:dyDescent="0.25">
      <c r="B30" s="35" t="s">
        <v>950</v>
      </c>
      <c r="C30" s="36" t="s">
        <v>755</v>
      </c>
      <c r="D30" s="36" t="s">
        <v>748</v>
      </c>
    </row>
    <row r="31" spans="2:4" x14ac:dyDescent="0.25">
      <c r="B31" s="4" t="s">
        <v>749</v>
      </c>
      <c r="C31" s="5">
        <f>COUNTIF(Data!HK:HK,"Yes")</f>
        <v>0</v>
      </c>
      <c r="D31" s="6" t="e">
        <f>C31/C33</f>
        <v>#DIV/0!</v>
      </c>
    </row>
    <row r="32" spans="2:4" x14ac:dyDescent="0.25">
      <c r="B32" s="13" t="s">
        <v>750</v>
      </c>
      <c r="C32" s="14">
        <f>COUNTIF(Data!HK:HK,"No")</f>
        <v>0</v>
      </c>
      <c r="D32" s="15" t="e">
        <f>C32/C33</f>
        <v>#DIV/0!</v>
      </c>
    </row>
    <row r="33" spans="2:4" x14ac:dyDescent="0.25">
      <c r="B33" s="16" t="s">
        <v>751</v>
      </c>
      <c r="C33" s="14">
        <f>SUM(C31:C32)</f>
        <v>0</v>
      </c>
      <c r="D33" s="23" t="e">
        <f>SUM(D31:D32)</f>
        <v>#DIV/0!</v>
      </c>
    </row>
    <row r="35" spans="2:4" x14ac:dyDescent="0.25">
      <c r="B35" t="s">
        <v>141</v>
      </c>
    </row>
    <row r="36" spans="2:4" x14ac:dyDescent="0.25">
      <c r="B36" s="35" t="s">
        <v>951</v>
      </c>
      <c r="C36" s="36" t="s">
        <v>755</v>
      </c>
      <c r="D36" s="37" t="s">
        <v>748</v>
      </c>
    </row>
    <row r="37" spans="2:4" x14ac:dyDescent="0.25">
      <c r="B37" s="20" t="s">
        <v>952</v>
      </c>
      <c r="C37" s="5">
        <f>COUNTIF(Data!HL:HL,"*Market*")</f>
        <v>0</v>
      </c>
      <c r="D37" s="6" t="e">
        <f>C37/C42</f>
        <v>#DIV/0!</v>
      </c>
    </row>
    <row r="38" spans="2:4" x14ac:dyDescent="0.25">
      <c r="B38" s="20" t="s">
        <v>953</v>
      </c>
      <c r="C38" s="5">
        <f>COUNTIF(Data!HL:HL,"*land_rights*")</f>
        <v>0</v>
      </c>
      <c r="D38" s="6" t="e">
        <f>C38/C42</f>
        <v>#DIV/0!</v>
      </c>
    </row>
    <row r="39" spans="2:4" x14ac:dyDescent="0.25">
      <c r="B39" s="20" t="s">
        <v>954</v>
      </c>
      <c r="C39" s="5">
        <f>COUNTIF(Data!HL:HL,"*Fighting*")</f>
        <v>0</v>
      </c>
      <c r="D39" s="6" t="e">
        <f>C39/C42</f>
        <v>#DIV/0!</v>
      </c>
    </row>
    <row r="40" spans="2:4" x14ac:dyDescent="0.25">
      <c r="B40" s="20" t="s">
        <v>955</v>
      </c>
      <c r="C40" s="5">
        <f>COUNTIF(Data!HL:HL,"*Robbery*")</f>
        <v>0</v>
      </c>
      <c r="D40" s="6" t="e">
        <f>C40/C42</f>
        <v>#DIV/0!</v>
      </c>
    </row>
    <row r="41" spans="2:4" x14ac:dyDescent="0.25">
      <c r="B41" s="21" t="s">
        <v>770</v>
      </c>
      <c r="C41" s="14">
        <f>COUNTIF(Data!HL:HL,"*Other*")</f>
        <v>0</v>
      </c>
      <c r="D41" s="15" t="e">
        <f>C41/C42</f>
        <v>#DIV/0!</v>
      </c>
    </row>
    <row r="42" spans="2:4" x14ac:dyDescent="0.25">
      <c r="B42" s="21" t="s">
        <v>812</v>
      </c>
      <c r="C42" s="14">
        <f>SUM(C37:C41)</f>
        <v>0</v>
      </c>
      <c r="D42" s="15" t="e">
        <f>SUM(D37:D41)</f>
        <v>#DIV/0!</v>
      </c>
    </row>
    <row r="43" spans="2:4" x14ac:dyDescent="0.25">
      <c r="B43" s="67" t="s">
        <v>813</v>
      </c>
      <c r="C43" s="68">
        <f>COUNTIF(Data!HL5:HL9999,"*e*") + COUNTIF(Data!HL5:HL9999, "land_rights") + COUNTIFS(Data!HL5:HL9999,"land_rights fighting") + COUNTIF(Data!HL5:HL9999,"fighting")</f>
        <v>0</v>
      </c>
      <c r="D43" s="25"/>
    </row>
    <row r="45" spans="2:4" x14ac:dyDescent="0.25">
      <c r="B45" t="s">
        <v>145</v>
      </c>
    </row>
    <row r="46" spans="2:4" x14ac:dyDescent="0.25">
      <c r="B46" s="45" t="s">
        <v>854</v>
      </c>
      <c r="C46" s="58" t="s">
        <v>755</v>
      </c>
      <c r="D46" s="61" t="s">
        <v>748</v>
      </c>
    </row>
    <row r="47" spans="2:4" x14ac:dyDescent="0.25">
      <c r="B47" s="20" t="s">
        <v>749</v>
      </c>
      <c r="C47" s="5">
        <f>COUNTIF(Data!HS:HS,"Yes")</f>
        <v>0</v>
      </c>
      <c r="D47" s="6" t="e">
        <f>C47/C49</f>
        <v>#DIV/0!</v>
      </c>
    </row>
    <row r="48" spans="2:4" x14ac:dyDescent="0.25">
      <c r="B48" s="21" t="s">
        <v>750</v>
      </c>
      <c r="C48" s="14">
        <f>COUNTIF(Data!HS:HS,"No")</f>
        <v>0</v>
      </c>
      <c r="D48" s="15" t="e">
        <f>C48/C49</f>
        <v>#DIV/0!</v>
      </c>
    </row>
    <row r="49" spans="2:4" x14ac:dyDescent="0.25">
      <c r="B49" s="59" t="s">
        <v>751</v>
      </c>
      <c r="C49" s="14">
        <f>SUM(C47:C48)</f>
        <v>0</v>
      </c>
      <c r="D49" s="15" t="e">
        <f>SUM(D47:D48)</f>
        <v>#DIV/0!</v>
      </c>
    </row>
    <row r="50" spans="2:4" x14ac:dyDescent="0.25">
      <c r="B50" s="65"/>
      <c r="C50" s="5"/>
    </row>
    <row r="51" spans="2:4" x14ac:dyDescent="0.25">
      <c r="B51" t="s">
        <v>146</v>
      </c>
    </row>
    <row r="52" spans="2:4" x14ac:dyDescent="0.25">
      <c r="B52" s="45" t="s">
        <v>855</v>
      </c>
      <c r="C52" s="58" t="s">
        <v>755</v>
      </c>
      <c r="D52" s="61" t="s">
        <v>748</v>
      </c>
    </row>
    <row r="53" spans="2:4" x14ac:dyDescent="0.25">
      <c r="B53" s="20" t="s">
        <v>749</v>
      </c>
      <c r="C53" s="5">
        <f>COUNTIF(Data!HT:HT,"Yes")</f>
        <v>0</v>
      </c>
      <c r="D53" s="6" t="e">
        <f>C53/C55</f>
        <v>#DIV/0!</v>
      </c>
    </row>
    <row r="54" spans="2:4" x14ac:dyDescent="0.25">
      <c r="B54" s="21" t="s">
        <v>750</v>
      </c>
      <c r="C54" s="14">
        <f>COUNTIF(Data!HT:HT,"No")</f>
        <v>0</v>
      </c>
      <c r="D54" s="15" t="e">
        <f>C54/C55</f>
        <v>#DIV/0!</v>
      </c>
    </row>
    <row r="55" spans="2:4" x14ac:dyDescent="0.25">
      <c r="B55" s="59" t="s">
        <v>751</v>
      </c>
      <c r="C55" s="14">
        <f>SUM(C53:C54)</f>
        <v>0</v>
      </c>
      <c r="D55" s="15" t="e">
        <f>SUM(D53:D54)</f>
        <v>#DIV/0!</v>
      </c>
    </row>
    <row r="56" spans="2:4" x14ac:dyDescent="0.25">
      <c r="B56" s="65"/>
      <c r="C56" s="5"/>
    </row>
    <row r="57" spans="2:4" x14ac:dyDescent="0.25">
      <c r="B57" t="s">
        <v>147</v>
      </c>
    </row>
    <row r="58" spans="2:4" x14ac:dyDescent="0.25">
      <c r="B58" s="45" t="s">
        <v>856</v>
      </c>
      <c r="C58" s="58" t="s">
        <v>755</v>
      </c>
      <c r="D58" s="61" t="s">
        <v>748</v>
      </c>
    </row>
    <row r="59" spans="2:4" x14ac:dyDescent="0.25">
      <c r="B59" s="20" t="s">
        <v>857</v>
      </c>
      <c r="C59" s="5">
        <f>COUNTIF(Data!HU:HU,"*Friends*")</f>
        <v>0</v>
      </c>
      <c r="D59" s="6" t="e">
        <f>C59/C64</f>
        <v>#DIV/0!</v>
      </c>
    </row>
    <row r="60" spans="2:4" x14ac:dyDescent="0.25">
      <c r="B60" s="20" t="s">
        <v>858</v>
      </c>
      <c r="C60" s="5">
        <f>COUNTIF(Data!HU:HU,"*Family*")</f>
        <v>0</v>
      </c>
      <c r="D60" s="6" t="e">
        <f>C60/C64</f>
        <v>#DIV/0!</v>
      </c>
    </row>
    <row r="61" spans="2:4" x14ac:dyDescent="0.25">
      <c r="B61" s="20" t="s">
        <v>859</v>
      </c>
      <c r="C61" s="5">
        <f>COUNTIF(Data!HU:HU,"*Renters*")</f>
        <v>0</v>
      </c>
      <c r="D61" s="6" t="e">
        <f>C61/C64</f>
        <v>#DIV/0!</v>
      </c>
    </row>
    <row r="62" spans="2:4" x14ac:dyDescent="0.25">
      <c r="B62" s="21" t="s">
        <v>770</v>
      </c>
      <c r="C62" s="14">
        <f>COUNTIF(Data!HU:HU,"*Other*")</f>
        <v>0</v>
      </c>
      <c r="D62" s="15" t="e">
        <f>C62/C64</f>
        <v>#DIV/0!</v>
      </c>
    </row>
    <row r="63" spans="2:4" x14ac:dyDescent="0.25">
      <c r="B63" s="21" t="s">
        <v>812</v>
      </c>
      <c r="C63" s="14">
        <f>SUM(C59:C62)</f>
        <v>0</v>
      </c>
      <c r="D63" s="15" t="e">
        <f>SUM(D59:D62)</f>
        <v>#DIV/0!</v>
      </c>
    </row>
    <row r="64" spans="2:4" x14ac:dyDescent="0.25">
      <c r="B64" s="59" t="s">
        <v>813</v>
      </c>
      <c r="C64" s="14">
        <f>COUNTIF(Data!HU5:HU9827, "*r*") + COUNTIF(Data!HU5:HU9827, "Family")</f>
        <v>0</v>
      </c>
      <c r="D64" s="25"/>
    </row>
    <row r="66" spans="2:4" x14ac:dyDescent="0.25">
      <c r="B66" t="s">
        <v>148</v>
      </c>
    </row>
    <row r="67" spans="2:4" x14ac:dyDescent="0.25">
      <c r="B67" s="45" t="s">
        <v>860</v>
      </c>
      <c r="C67" s="58" t="s">
        <v>755</v>
      </c>
      <c r="D67" s="61" t="s">
        <v>748</v>
      </c>
    </row>
    <row r="68" spans="2:4" x14ac:dyDescent="0.25">
      <c r="B68" s="4" t="s">
        <v>749</v>
      </c>
      <c r="C68" s="5">
        <f>COUNTIF(Data!HW:HW,"Yes")</f>
        <v>0</v>
      </c>
      <c r="D68" s="6" t="e">
        <f>C68/C70</f>
        <v>#DIV/0!</v>
      </c>
    </row>
    <row r="69" spans="2:4" x14ac:dyDescent="0.25">
      <c r="B69" s="13" t="s">
        <v>750</v>
      </c>
      <c r="C69" s="14">
        <f>COUNTIF(Data!HW:HW,"No")</f>
        <v>0</v>
      </c>
      <c r="D69" s="15" t="e">
        <f>C69/C70</f>
        <v>#DIV/0!</v>
      </c>
    </row>
    <row r="70" spans="2:4" x14ac:dyDescent="0.25">
      <c r="B70" s="16" t="s">
        <v>751</v>
      </c>
      <c r="C70" s="14">
        <f>SUM(C68:C69)</f>
        <v>0</v>
      </c>
      <c r="D70" s="15" t="e">
        <f>SUM(D68:D69)</f>
        <v>#DIV/0!</v>
      </c>
    </row>
    <row r="71" spans="2:4" x14ac:dyDescent="0.25">
      <c r="B71" s="5"/>
      <c r="C71" s="5"/>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workbookViewId="0"/>
  </sheetViews>
  <sheetFormatPr defaultRowHeight="15" x14ac:dyDescent="0.25"/>
  <cols>
    <col min="2" max="2" width="24.42578125" customWidth="1"/>
    <col min="3" max="3" width="11.7109375" customWidth="1"/>
    <col min="4" max="4" width="11" customWidth="1"/>
    <col min="5" max="5" width="11.140625" customWidth="1"/>
    <col min="6" max="6" width="15.28515625" customWidth="1"/>
    <col min="7" max="7" width="12.140625" customWidth="1"/>
    <col min="8" max="8" width="11.28515625" customWidth="1"/>
  </cols>
  <sheetData>
    <row r="1" spans="1:8" s="128" customFormat="1" ht="16.5" customHeight="1" x14ac:dyDescent="0.25">
      <c r="A1" s="127">
        <v>13</v>
      </c>
      <c r="B1" s="128" t="s">
        <v>743</v>
      </c>
    </row>
    <row r="3" spans="1:8" x14ac:dyDescent="0.25">
      <c r="B3" t="s">
        <v>1053</v>
      </c>
    </row>
    <row r="4" spans="1:8" x14ac:dyDescent="0.25">
      <c r="C4" s="135" t="s">
        <v>871</v>
      </c>
      <c r="D4" s="136"/>
      <c r="E4" s="137" t="s">
        <v>992</v>
      </c>
      <c r="F4" s="136"/>
      <c r="G4" s="137" t="s">
        <v>1054</v>
      </c>
      <c r="H4" s="136"/>
    </row>
    <row r="5" spans="1:8" x14ac:dyDescent="0.25">
      <c r="B5" s="35" t="s">
        <v>1041</v>
      </c>
      <c r="C5" s="78" t="s">
        <v>755</v>
      </c>
      <c r="D5" s="85" t="s">
        <v>871</v>
      </c>
      <c r="E5" s="86" t="s">
        <v>755</v>
      </c>
      <c r="F5" s="85" t="s">
        <v>992</v>
      </c>
      <c r="G5" s="86" t="s">
        <v>755</v>
      </c>
      <c r="H5" s="85" t="s">
        <v>1055</v>
      </c>
    </row>
    <row r="6" spans="1:8" x14ac:dyDescent="0.25">
      <c r="B6" s="34" t="s">
        <v>1333</v>
      </c>
      <c r="C6" s="51">
        <f>COUNTIFS(Data!OB:OB,"&gt;=0",Data!OB:OB,"&lt;=5")</f>
        <v>0</v>
      </c>
      <c r="D6" s="48" t="e">
        <f>C6/C13</f>
        <v>#DIV/0!</v>
      </c>
      <c r="E6" s="51">
        <f>COUNTIFS(Data!OG:OG,"&gt;=0",Data!OG:OG,"&lt;=5")</f>
        <v>0</v>
      </c>
      <c r="F6" s="48" t="e">
        <f>E6/E13</f>
        <v>#DIV/0!</v>
      </c>
      <c r="G6" s="51">
        <f>COUNTIFS(Data!OV:OV,"&gt;=0",Data!OV:OV,"&lt;=5")</f>
        <v>0</v>
      </c>
      <c r="H6" s="48" t="e">
        <f>G6/G13</f>
        <v>#DIV/0!</v>
      </c>
    </row>
    <row r="7" spans="1:8" x14ac:dyDescent="0.25">
      <c r="B7" s="34" t="s">
        <v>1327</v>
      </c>
      <c r="C7" s="5">
        <f>COUNTIFS(Data!OB:OB,"&gt;5",Data!OB:OB,"&lt;=10")</f>
        <v>0</v>
      </c>
      <c r="D7" s="48" t="e">
        <f>C7/C13</f>
        <v>#DIV/0!</v>
      </c>
      <c r="E7" s="5">
        <f>COUNTIFS(Data!OG:OG,"&gt;5",Data!OG:OG,"&lt;=10")</f>
        <v>0</v>
      </c>
      <c r="F7" s="48" t="e">
        <f>E7/E13</f>
        <v>#DIV/0!</v>
      </c>
      <c r="G7" s="5">
        <f>COUNTIFS(Data!OV:OV,"&gt;5",Data!OV:OV,"&lt;=10")</f>
        <v>0</v>
      </c>
      <c r="H7" s="48" t="e">
        <f>G7/G13</f>
        <v>#DIV/0!</v>
      </c>
    </row>
    <row r="8" spans="1:8" x14ac:dyDescent="0.25">
      <c r="B8" s="34" t="s">
        <v>835</v>
      </c>
      <c r="C8" s="5">
        <f>COUNTIFS(Data!OB:OB,"&gt;10",Data!OB:OB,"&lt;=15")</f>
        <v>0</v>
      </c>
      <c r="D8" s="48" t="e">
        <f>C8/C13</f>
        <v>#DIV/0!</v>
      </c>
      <c r="E8" s="5">
        <f>COUNTIFS(Data!OG:OG,"&gt;10",Data!OG:OG,"&lt;=15")</f>
        <v>0</v>
      </c>
      <c r="F8" s="48" t="e">
        <f>E8/E13</f>
        <v>#DIV/0!</v>
      </c>
      <c r="G8" s="5">
        <f>COUNTIFS(Data!OV:OV,"&gt;10",Data!OV:OV,"&lt;=15")</f>
        <v>0</v>
      </c>
      <c r="H8" s="48" t="e">
        <f>G8/G13</f>
        <v>#DIV/0!</v>
      </c>
    </row>
    <row r="9" spans="1:8" x14ac:dyDescent="0.25">
      <c r="B9" s="34" t="s">
        <v>836</v>
      </c>
      <c r="C9" s="5">
        <f>COUNTIFS(Data!OB:OB,"&gt;15",Data!OB:OB,"&lt;=20")</f>
        <v>0</v>
      </c>
      <c r="D9" s="48" t="e">
        <f>C9/C13</f>
        <v>#DIV/0!</v>
      </c>
      <c r="E9" s="5">
        <f>COUNTIFS(Data!OG:OG,"&gt;15",Data!OG:OG,"&lt;=20")</f>
        <v>0</v>
      </c>
      <c r="F9" s="48" t="e">
        <f>E9/E13</f>
        <v>#DIV/0!</v>
      </c>
      <c r="G9" s="5">
        <f>COUNTIFS(Data!OV:OV,"&gt;15",Data!OV:OV,"&lt;=20")</f>
        <v>0</v>
      </c>
      <c r="H9" s="48" t="e">
        <f>G9/G13</f>
        <v>#DIV/0!</v>
      </c>
    </row>
    <row r="10" spans="1:8" x14ac:dyDescent="0.25">
      <c r="B10" s="34" t="s">
        <v>837</v>
      </c>
      <c r="C10" s="5">
        <f>COUNTIFS(Data!OB:OB,"&gt;20",Data!OB:OB,"&lt;=25")</f>
        <v>0</v>
      </c>
      <c r="D10" s="48" t="e">
        <f>C10/C13</f>
        <v>#DIV/0!</v>
      </c>
      <c r="E10" s="5">
        <f>COUNTIFS(Data!OG:OG,"&gt;20",Data!OG:OG,"&lt;=25")</f>
        <v>0</v>
      </c>
      <c r="F10" s="48" t="e">
        <f>E10/E13</f>
        <v>#DIV/0!</v>
      </c>
      <c r="G10" s="5">
        <f>COUNTIFS(Data!OV:OV,"&gt;20",Data!OV:OV,"&lt;=25")</f>
        <v>0</v>
      </c>
      <c r="H10" s="48" t="e">
        <f>G10/G13</f>
        <v>#DIV/0!</v>
      </c>
    </row>
    <row r="11" spans="1:8" x14ac:dyDescent="0.25">
      <c r="B11" s="34" t="s">
        <v>838</v>
      </c>
      <c r="C11" s="5">
        <f>COUNTIFS(Data!OB:OB,"&gt;25",Data!OB:OB,"&lt;=30")</f>
        <v>0</v>
      </c>
      <c r="D11" s="48" t="e">
        <f>C11/C13</f>
        <v>#DIV/0!</v>
      </c>
      <c r="E11" s="5">
        <f>COUNTIFS(Data!OG:OG,"&gt;25",Data!OG:OG,"&lt;=30")</f>
        <v>0</v>
      </c>
      <c r="F11" s="48" t="e">
        <f>E11/E13</f>
        <v>#DIV/0!</v>
      </c>
      <c r="G11" s="5">
        <f>COUNTIFS(Data!OV:OV,"&gt;25",Data!OV:OV,"&lt;=30")</f>
        <v>0</v>
      </c>
      <c r="H11" s="48" t="e">
        <f>G11/G13</f>
        <v>#DIV/0!</v>
      </c>
    </row>
    <row r="12" spans="1:8" x14ac:dyDescent="0.25">
      <c r="B12" s="41" t="s">
        <v>840</v>
      </c>
      <c r="C12" s="54">
        <f>COUNTIF(Data!OB:OB,"&gt;30")</f>
        <v>0</v>
      </c>
      <c r="D12" s="49" t="e">
        <f>C12/C13</f>
        <v>#DIV/0!</v>
      </c>
      <c r="E12" s="54">
        <f>COUNTIF(Data!OG:OG,"&gt;30")</f>
        <v>0</v>
      </c>
      <c r="F12" s="49" t="e">
        <f>E12/E13</f>
        <v>#DIV/0!</v>
      </c>
      <c r="G12" s="54">
        <f>COUNTIF(Data!OV:OV,"&gt;30")</f>
        <v>0</v>
      </c>
      <c r="H12" s="49" t="e">
        <f>G12/G13</f>
        <v>#DIV/0!</v>
      </c>
    </row>
    <row r="13" spans="1:8" x14ac:dyDescent="0.25">
      <c r="B13" s="43" t="s">
        <v>751</v>
      </c>
      <c r="C13" s="14">
        <f t="shared" ref="C13:H13" si="0">SUM(C6:C11)</f>
        <v>0</v>
      </c>
      <c r="D13" s="49" t="e">
        <f t="shared" si="0"/>
        <v>#DIV/0!</v>
      </c>
      <c r="E13" s="14">
        <f t="shared" si="0"/>
        <v>0</v>
      </c>
      <c r="F13" s="49" t="e">
        <f t="shared" si="0"/>
        <v>#DIV/0!</v>
      </c>
      <c r="G13" s="14">
        <f t="shared" si="0"/>
        <v>0</v>
      </c>
      <c r="H13" s="49" t="e">
        <f t="shared" si="0"/>
        <v>#DIV/0!</v>
      </c>
    </row>
    <row r="14" spans="1:8" x14ac:dyDescent="0.25">
      <c r="B14" s="43" t="s">
        <v>756</v>
      </c>
      <c r="C14" s="55" t="e">
        <f>AVERAGEIF(Data!OB:OB, "&gt;0")</f>
        <v>#DIV/0!</v>
      </c>
      <c r="D14" s="49"/>
      <c r="E14" s="55" t="e">
        <f>AVERAGEIF(Data!OG:OG, "&gt;0")</f>
        <v>#DIV/0!</v>
      </c>
      <c r="F14" s="49"/>
      <c r="G14" s="55" t="e">
        <f>AVERAGEIF(Data!OV:OV, "&gt;0")</f>
        <v>#DIV/0!</v>
      </c>
      <c r="H14" s="49"/>
    </row>
    <row r="16" spans="1:8" x14ac:dyDescent="0.25">
      <c r="B16" t="s">
        <v>279</v>
      </c>
    </row>
    <row r="17" spans="2:6" x14ac:dyDescent="0.25">
      <c r="B17" s="35" t="s">
        <v>1045</v>
      </c>
      <c r="C17" s="40" t="s">
        <v>755</v>
      </c>
      <c r="D17" s="57" t="s">
        <v>748</v>
      </c>
    </row>
    <row r="18" spans="2:6" x14ac:dyDescent="0.25">
      <c r="B18" s="4" t="s">
        <v>1043</v>
      </c>
      <c r="C18" s="5">
        <f>COUNTIF(Data!OC:OC,"Formal_Donated")</f>
        <v>0</v>
      </c>
      <c r="D18" s="6" t="e">
        <f>C18/C20</f>
        <v>#DIV/0!</v>
      </c>
    </row>
    <row r="19" spans="2:6" x14ac:dyDescent="0.25">
      <c r="B19" s="13" t="s">
        <v>1044</v>
      </c>
      <c r="C19" s="14">
        <f>COUNTIF(Data!OC:OC,"Self_constructed")</f>
        <v>0</v>
      </c>
      <c r="D19" s="15" t="e">
        <f>C19/C20</f>
        <v>#DIV/0!</v>
      </c>
    </row>
    <row r="20" spans="2:6" x14ac:dyDescent="0.25">
      <c r="B20" s="43" t="s">
        <v>751</v>
      </c>
      <c r="C20" s="14">
        <f>SUM(C18:C19)</f>
        <v>0</v>
      </c>
      <c r="D20" s="49" t="e">
        <f>SUM(D18:D19)</f>
        <v>#DIV/0!</v>
      </c>
    </row>
    <row r="22" spans="2:6" x14ac:dyDescent="0.25">
      <c r="B22" t="s">
        <v>280</v>
      </c>
    </row>
    <row r="23" spans="2:6" x14ac:dyDescent="0.25">
      <c r="B23" s="35" t="s">
        <v>1046</v>
      </c>
      <c r="C23" s="36" t="s">
        <v>755</v>
      </c>
      <c r="D23" s="36" t="s">
        <v>748</v>
      </c>
    </row>
    <row r="24" spans="2:6" x14ac:dyDescent="0.25">
      <c r="B24" s="4" t="s">
        <v>749</v>
      </c>
      <c r="C24" s="5">
        <f>COUNTIF(Data!OD:OD,"Yes")</f>
        <v>0</v>
      </c>
      <c r="D24" s="6" t="e">
        <f>C24/C26</f>
        <v>#DIV/0!</v>
      </c>
    </row>
    <row r="25" spans="2:6" x14ac:dyDescent="0.25">
      <c r="B25" s="13" t="s">
        <v>750</v>
      </c>
      <c r="C25" s="14">
        <f>COUNTIF(Data!OD:OD,"No")</f>
        <v>0</v>
      </c>
      <c r="D25" s="15" t="e">
        <f>C25/C26</f>
        <v>#DIV/0!</v>
      </c>
    </row>
    <row r="26" spans="2:6" x14ac:dyDescent="0.25">
      <c r="B26" s="16" t="s">
        <v>751</v>
      </c>
      <c r="C26" s="14">
        <f>SUM(C24:C25)</f>
        <v>0</v>
      </c>
      <c r="D26" s="23" t="e">
        <f>SUM(D24:D25)</f>
        <v>#DIV/0!</v>
      </c>
    </row>
    <row r="28" spans="2:6" x14ac:dyDescent="0.25">
      <c r="B28" t="s">
        <v>1334</v>
      </c>
    </row>
    <row r="29" spans="2:6" x14ac:dyDescent="0.25">
      <c r="C29" s="132" t="s">
        <v>871</v>
      </c>
      <c r="D29" s="133"/>
      <c r="E29" s="134" t="s">
        <v>992</v>
      </c>
      <c r="F29" s="133"/>
    </row>
    <row r="30" spans="2:6" x14ac:dyDescent="0.25">
      <c r="B30" s="45" t="s">
        <v>1051</v>
      </c>
      <c r="C30" s="1" t="s">
        <v>747</v>
      </c>
      <c r="D30" s="3" t="s">
        <v>748</v>
      </c>
      <c r="E30" s="2" t="s">
        <v>747</v>
      </c>
      <c r="F30" s="3" t="s">
        <v>748</v>
      </c>
    </row>
    <row r="31" spans="2:6" x14ac:dyDescent="0.25">
      <c r="B31" s="4" t="s">
        <v>1047</v>
      </c>
      <c r="C31" s="5">
        <f>COUNTIF(Data!OF:OF,"Category1_Good_cond_New")</f>
        <v>0</v>
      </c>
      <c r="D31" s="6" t="e">
        <f>C31/C35</f>
        <v>#DIV/0!</v>
      </c>
      <c r="E31" s="5">
        <f>COUNTIF(Data!OU:OU,"Category1_Good_cond_New")</f>
        <v>0</v>
      </c>
      <c r="F31" s="6" t="e">
        <f>E31/E35</f>
        <v>#DIV/0!</v>
      </c>
    </row>
    <row r="32" spans="2:6" x14ac:dyDescent="0.25">
      <c r="B32" s="4" t="s">
        <v>1048</v>
      </c>
      <c r="C32" s="5">
        <f>COUNTIF(Data!OF:OF,"Category2_Tent_mat_worn ")</f>
        <v>0</v>
      </c>
      <c r="D32" s="6" t="e">
        <f>C32/C35</f>
        <v>#DIV/0!</v>
      </c>
      <c r="E32" s="5">
        <f>COUNTIF(Data!OU:OU,"Category2_Tent_mat_worn ")</f>
        <v>0</v>
      </c>
      <c r="F32" s="6" t="e">
        <f>E32/E35</f>
        <v>#DIV/0!</v>
      </c>
    </row>
    <row r="33" spans="2:6" x14ac:dyDescent="0.25">
      <c r="B33" s="4" t="s">
        <v>1049</v>
      </c>
      <c r="C33" s="5">
        <f>COUNTIF(Data!OF:OF,"*Category3_Bad_condition*")</f>
        <v>0</v>
      </c>
      <c r="D33" s="6" t="e">
        <f>C33/C35</f>
        <v>#DIV/0!</v>
      </c>
      <c r="E33" s="5">
        <f>COUNTIF(Data!OU:OU,"*Category3_Bad_condition*")</f>
        <v>0</v>
      </c>
      <c r="F33" s="6" t="e">
        <f>E33/E35</f>
        <v>#DIV/0!</v>
      </c>
    </row>
    <row r="34" spans="2:6" x14ac:dyDescent="0.25">
      <c r="B34" s="13" t="s">
        <v>1050</v>
      </c>
      <c r="C34" s="14">
        <f>COUNTIF(Data!OF:OF,"*Category4_Uninhabitable*")</f>
        <v>0</v>
      </c>
      <c r="D34" s="15" t="e">
        <f>C34/C35</f>
        <v>#DIV/0!</v>
      </c>
      <c r="E34" s="14">
        <f>COUNTIF(Data!OU:OU,"*Category4_Uninhabitable*")</f>
        <v>0</v>
      </c>
      <c r="F34" s="15" t="e">
        <f>E34/E35</f>
        <v>#DIV/0!</v>
      </c>
    </row>
    <row r="35" spans="2:6" x14ac:dyDescent="0.25">
      <c r="B35" s="13" t="s">
        <v>751</v>
      </c>
      <c r="C35" s="14">
        <f>SUM(C31:C34)</f>
        <v>0</v>
      </c>
      <c r="D35" s="15" t="e">
        <f>SUM(D31:D34)</f>
        <v>#DIV/0!</v>
      </c>
      <c r="E35" s="14">
        <f>SUM(E31:E34)</f>
        <v>0</v>
      </c>
      <c r="F35" s="15" t="e">
        <f>SUM(F31:F34)</f>
        <v>#DIV/0!</v>
      </c>
    </row>
    <row r="37" spans="2:6" x14ac:dyDescent="0.25">
      <c r="B37" t="s">
        <v>285</v>
      </c>
    </row>
    <row r="38" spans="2:6" x14ac:dyDescent="0.25">
      <c r="B38" s="35" t="s">
        <v>1046</v>
      </c>
      <c r="C38" s="36" t="s">
        <v>755</v>
      </c>
      <c r="D38" s="36" t="s">
        <v>748</v>
      </c>
    </row>
    <row r="39" spans="2:6" x14ac:dyDescent="0.25">
      <c r="B39" s="4" t="s">
        <v>749</v>
      </c>
      <c r="C39" s="5">
        <f>COUNTIF(Data!OI:OI,"Yes")</f>
        <v>0</v>
      </c>
      <c r="D39" s="6" t="e">
        <f>C39/C41</f>
        <v>#DIV/0!</v>
      </c>
    </row>
    <row r="40" spans="2:6" x14ac:dyDescent="0.25">
      <c r="B40" s="13" t="s">
        <v>750</v>
      </c>
      <c r="C40" s="14">
        <f>COUNTIF(Data!OI:OI,"No")</f>
        <v>0</v>
      </c>
      <c r="D40" s="15" t="e">
        <f>C40/C41</f>
        <v>#DIV/0!</v>
      </c>
    </row>
    <row r="41" spans="2:6" x14ac:dyDescent="0.25">
      <c r="B41" s="16" t="s">
        <v>751</v>
      </c>
      <c r="C41" s="14">
        <f>SUM(C39:C40)</f>
        <v>0</v>
      </c>
      <c r="D41" s="23" t="e">
        <f>SUM(D39:D40)</f>
        <v>#DIV/0!</v>
      </c>
    </row>
    <row r="43" spans="2:6" x14ac:dyDescent="0.25">
      <c r="B43" t="s">
        <v>1335</v>
      </c>
    </row>
    <row r="44" spans="2:6" x14ac:dyDescent="0.25">
      <c r="B44" s="45" t="s">
        <v>1036</v>
      </c>
      <c r="C44" s="58" t="s">
        <v>1037</v>
      </c>
      <c r="D44" s="58" t="s">
        <v>748</v>
      </c>
      <c r="E44" s="58" t="s">
        <v>1038</v>
      </c>
      <c r="F44" s="61" t="s">
        <v>748</v>
      </c>
    </row>
    <row r="45" spans="2:6" x14ac:dyDescent="0.25">
      <c r="B45" s="20" t="s">
        <v>749</v>
      </c>
      <c r="C45" s="5">
        <f>COUNTIF(Data!OJ:OJ,"Yes")</f>
        <v>0</v>
      </c>
      <c r="D45" s="84" t="e">
        <f>C45/C47</f>
        <v>#DIV/0!</v>
      </c>
      <c r="E45" s="5">
        <f>COUNTIF(Data!OK:OK,"Yes")</f>
        <v>0</v>
      </c>
      <c r="F45" s="119" t="e">
        <f>E45/E47</f>
        <v>#DIV/0!</v>
      </c>
    </row>
    <row r="46" spans="2:6" x14ac:dyDescent="0.25">
      <c r="B46" s="20" t="s">
        <v>750</v>
      </c>
      <c r="C46" s="5">
        <f>COUNTIF(Data!OJ:OJ,"No")</f>
        <v>0</v>
      </c>
      <c r="D46" s="84" t="e">
        <f>C46/C47</f>
        <v>#DIV/0!</v>
      </c>
      <c r="E46" s="5">
        <f>COUNTIF(Data!OK:OK,"No")</f>
        <v>0</v>
      </c>
      <c r="F46" s="119" t="e">
        <f>E46/E47</f>
        <v>#DIV/0!</v>
      </c>
    </row>
    <row r="47" spans="2:6" x14ac:dyDescent="0.25">
      <c r="B47" s="67" t="s">
        <v>751</v>
      </c>
      <c r="C47" s="8">
        <f>SUM(C45:C46)</f>
        <v>0</v>
      </c>
      <c r="D47" s="8"/>
      <c r="E47" s="8">
        <f>SUM(E45:E46)</f>
        <v>0</v>
      </c>
      <c r="F47" s="79"/>
    </row>
    <row r="49" spans="2:6" x14ac:dyDescent="0.25">
      <c r="B49" t="s">
        <v>1337</v>
      </c>
    </row>
    <row r="50" spans="2:6" x14ac:dyDescent="0.25">
      <c r="B50" s="35" t="s">
        <v>1336</v>
      </c>
      <c r="C50" s="36" t="s">
        <v>1056</v>
      </c>
      <c r="D50" s="36" t="s">
        <v>748</v>
      </c>
      <c r="E50" s="36" t="s">
        <v>1057</v>
      </c>
      <c r="F50" s="37" t="s">
        <v>748</v>
      </c>
    </row>
    <row r="51" spans="2:6" x14ac:dyDescent="0.25">
      <c r="B51" s="120" t="s">
        <v>749</v>
      </c>
      <c r="C51" s="27">
        <f>COUNTIF(Data!OL:OL,"Yes")</f>
        <v>0</v>
      </c>
      <c r="D51" s="121" t="e">
        <f>C51/C53</f>
        <v>#DIV/0!</v>
      </c>
      <c r="E51" s="27">
        <f>COUNTIF(Data!OM:OM,"Yes")</f>
        <v>0</v>
      </c>
      <c r="F51" s="122" t="e">
        <f>E51/E53</f>
        <v>#DIV/0!</v>
      </c>
    </row>
    <row r="52" spans="2:6" x14ac:dyDescent="0.25">
      <c r="B52" s="21" t="s">
        <v>750</v>
      </c>
      <c r="C52" s="14">
        <f>COUNTIF(Data!OL:OL,"No")</f>
        <v>0</v>
      </c>
      <c r="D52" s="33" t="e">
        <f>C52/C53</f>
        <v>#DIV/0!</v>
      </c>
      <c r="E52" s="14">
        <f>COUNTIF(Data!OM:OM,"No")</f>
        <v>0</v>
      </c>
      <c r="F52" s="23" t="e">
        <f>E52/E53</f>
        <v>#DIV/0!</v>
      </c>
    </row>
    <row r="53" spans="2:6" x14ac:dyDescent="0.25">
      <c r="B53" s="59" t="s">
        <v>751</v>
      </c>
      <c r="C53" s="14">
        <f>SUM(C51:C52)</f>
        <v>0</v>
      </c>
      <c r="D53" s="14"/>
      <c r="E53" s="14">
        <f>SUM(E51:E52)</f>
        <v>0</v>
      </c>
      <c r="F53" s="25"/>
    </row>
  </sheetData>
  <mergeCells count="5">
    <mergeCell ref="C29:D29"/>
    <mergeCell ref="E29:F29"/>
    <mergeCell ref="C4:D4"/>
    <mergeCell ref="E4:F4"/>
    <mergeCell ref="G4:H4"/>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workbookViewId="0"/>
  </sheetViews>
  <sheetFormatPr defaultRowHeight="15" x14ac:dyDescent="0.25"/>
  <cols>
    <col min="2" max="2" width="28" customWidth="1"/>
    <col min="3" max="3" width="13.5703125" customWidth="1"/>
  </cols>
  <sheetData>
    <row r="1" spans="1:6" s="128" customFormat="1" ht="16.5" customHeight="1" x14ac:dyDescent="0.25">
      <c r="A1" s="127">
        <v>14</v>
      </c>
      <c r="B1" s="128" t="s">
        <v>740</v>
      </c>
    </row>
    <row r="3" spans="1:6" x14ac:dyDescent="0.25">
      <c r="B3" t="s">
        <v>967</v>
      </c>
    </row>
    <row r="4" spans="1:6" x14ac:dyDescent="0.25">
      <c r="B4" s="35" t="s">
        <v>1339</v>
      </c>
      <c r="C4" s="57" t="s">
        <v>756</v>
      </c>
    </row>
    <row r="5" spans="1:6" x14ac:dyDescent="0.25">
      <c r="B5" s="74" t="s">
        <v>1338</v>
      </c>
      <c r="C5" s="73" t="e">
        <f>AVERAGEIF(Data!PI:PI, "&gt;0")</f>
        <v>#DIV/0!</v>
      </c>
    </row>
    <row r="6" spans="1:6" x14ac:dyDescent="0.25">
      <c r="B6" s="74" t="s">
        <v>968</v>
      </c>
      <c r="C6" s="73" t="e">
        <f>AVERAGEIF(Data!PJ:PJ, "&gt;0")</f>
        <v>#DIV/0!</v>
      </c>
    </row>
    <row r="7" spans="1:6" x14ac:dyDescent="0.25">
      <c r="B7" s="43" t="s">
        <v>969</v>
      </c>
      <c r="C7" s="75" t="e">
        <f>AVERAGEIF(Data!PK:PK,"&gt;0")</f>
        <v>#DIV/0!</v>
      </c>
    </row>
    <row r="9" spans="1:6" x14ac:dyDescent="0.25">
      <c r="B9" t="s">
        <v>861</v>
      </c>
    </row>
    <row r="10" spans="1:6" x14ac:dyDescent="0.25">
      <c r="A10" s="60"/>
      <c r="B10" s="45" t="s">
        <v>848</v>
      </c>
      <c r="C10" s="58" t="s">
        <v>755</v>
      </c>
      <c r="D10" s="61" t="s">
        <v>748</v>
      </c>
      <c r="E10" s="5"/>
    </row>
    <row r="11" spans="1:6" x14ac:dyDescent="0.25">
      <c r="A11" s="60"/>
      <c r="B11" s="20" t="s">
        <v>849</v>
      </c>
      <c r="C11" s="5">
        <f>COUNTIF(Data!HP:HP,"own_house_and_lot")</f>
        <v>0</v>
      </c>
      <c r="D11" s="6" t="e">
        <f>C11/C16</f>
        <v>#DIV/0!</v>
      </c>
      <c r="E11" s="5"/>
      <c r="F11" s="62"/>
    </row>
    <row r="12" spans="1:6" x14ac:dyDescent="0.25">
      <c r="A12" s="60"/>
      <c r="B12" s="20" t="s">
        <v>850</v>
      </c>
      <c r="C12" s="5">
        <f>COUNTIF(Data!HP:HP,"Own_house_but_rent_lot")</f>
        <v>0</v>
      </c>
      <c r="D12" s="6" t="e">
        <f>C12/C16</f>
        <v>#DIV/0!</v>
      </c>
      <c r="E12" s="5"/>
      <c r="F12" s="62"/>
    </row>
    <row r="13" spans="1:6" x14ac:dyDescent="0.25">
      <c r="A13" s="60"/>
      <c r="B13" s="20" t="s">
        <v>851</v>
      </c>
      <c r="C13" s="5">
        <f>COUNTIF(Data!HP:HP,"Rent_house_room_including")</f>
        <v>0</v>
      </c>
      <c r="D13" s="6" t="e">
        <f>C13/C16</f>
        <v>#DIV/0!</v>
      </c>
      <c r="E13" s="5"/>
      <c r="F13" s="62"/>
    </row>
    <row r="14" spans="1:6" x14ac:dyDescent="0.25">
      <c r="A14" s="60"/>
      <c r="B14" s="20" t="s">
        <v>852</v>
      </c>
      <c r="C14" s="5">
        <f>COUNTIF(Data!HP:HP,"Own_house_rentfree_with_cons")</f>
        <v>0</v>
      </c>
      <c r="D14" s="6" t="e">
        <f>C14/C16</f>
        <v>#DIV/0!</v>
      </c>
      <c r="E14" s="5"/>
      <c r="F14" s="62"/>
    </row>
    <row r="15" spans="1:6" x14ac:dyDescent="0.25">
      <c r="A15" s="60"/>
      <c r="B15" s="21" t="s">
        <v>770</v>
      </c>
      <c r="C15" s="14">
        <f>COUNTIF(Data!HP:HP,"Other")</f>
        <v>0</v>
      </c>
      <c r="D15" s="15" t="e">
        <f>C15/C16</f>
        <v>#DIV/0!</v>
      </c>
      <c r="E15" s="5"/>
      <c r="F15" s="62"/>
    </row>
    <row r="16" spans="1:6" x14ac:dyDescent="0.25">
      <c r="A16" s="60"/>
      <c r="B16" s="63" t="s">
        <v>751</v>
      </c>
      <c r="C16" s="14">
        <f>SUM(C11:C15)</f>
        <v>0</v>
      </c>
      <c r="D16" s="15" t="e">
        <f>SUM(D11:D15)</f>
        <v>#DIV/0!</v>
      </c>
      <c r="E16" s="5"/>
      <c r="F16" s="62"/>
    </row>
    <row r="17" spans="2:6" x14ac:dyDescent="0.25">
      <c r="F17" s="62"/>
    </row>
    <row r="18" spans="2:6" x14ac:dyDescent="0.25">
      <c r="B18" s="64" t="s">
        <v>144</v>
      </c>
    </row>
    <row r="19" spans="2:6" x14ac:dyDescent="0.25">
      <c r="B19" s="45" t="s">
        <v>853</v>
      </c>
      <c r="C19" s="58" t="s">
        <v>755</v>
      </c>
      <c r="D19" s="61" t="s">
        <v>748</v>
      </c>
    </row>
    <row r="20" spans="2:6" x14ac:dyDescent="0.25">
      <c r="B20" s="20" t="s">
        <v>749</v>
      </c>
      <c r="C20" s="5">
        <f>COUNTIF(Data!HR:HR,"Yes")</f>
        <v>0</v>
      </c>
      <c r="D20" s="6" t="e">
        <f>C20/C22</f>
        <v>#DIV/0!</v>
      </c>
    </row>
    <row r="21" spans="2:6" x14ac:dyDescent="0.25">
      <c r="B21" s="21" t="s">
        <v>750</v>
      </c>
      <c r="C21" s="14">
        <f>COUNTIF(Data!HR:HR,"No")</f>
        <v>0</v>
      </c>
      <c r="D21" s="15" t="e">
        <f>C21/C22</f>
        <v>#DIV/0!</v>
      </c>
    </row>
    <row r="22" spans="2:6" x14ac:dyDescent="0.25">
      <c r="B22" s="59" t="s">
        <v>751</v>
      </c>
      <c r="C22" s="14">
        <f>SUM(C20:C21)</f>
        <v>0</v>
      </c>
      <c r="D22" s="15" t="e">
        <f>SUM(D20:D21)</f>
        <v>#DIV/0!</v>
      </c>
    </row>
    <row r="23" spans="2:6" x14ac:dyDescent="0.25">
      <c r="B23" s="64"/>
      <c r="C23" s="5"/>
      <c r="D23" s="31"/>
    </row>
    <row r="24" spans="2:6" x14ac:dyDescent="0.25">
      <c r="B24" s="64" t="s">
        <v>142</v>
      </c>
    </row>
    <row r="25" spans="2:6" x14ac:dyDescent="0.25">
      <c r="B25" s="35" t="s">
        <v>853</v>
      </c>
      <c r="C25" s="36" t="s">
        <v>755</v>
      </c>
      <c r="D25" s="37" t="s">
        <v>748</v>
      </c>
    </row>
    <row r="26" spans="2:6" x14ac:dyDescent="0.25">
      <c r="B26" s="4" t="s">
        <v>849</v>
      </c>
      <c r="C26" s="27">
        <f>COUNTIF(Data!HN:HN,"Own_house_and_lot")</f>
        <v>0</v>
      </c>
      <c r="D26" s="6" t="e">
        <f>C26/C34</f>
        <v>#DIV/0!</v>
      </c>
    </row>
    <row r="27" spans="2:6" x14ac:dyDescent="0.25">
      <c r="B27" s="4" t="s">
        <v>850</v>
      </c>
      <c r="C27" s="5">
        <f>COUNTIF(Data!HN:HN,"Own_house_but_rent_lot")</f>
        <v>0</v>
      </c>
      <c r="D27" s="6" t="e">
        <f>C27/C34</f>
        <v>#DIV/0!</v>
      </c>
    </row>
    <row r="28" spans="2:6" x14ac:dyDescent="0.25">
      <c r="B28" s="4" t="s">
        <v>851</v>
      </c>
      <c r="C28" s="5">
        <f>COUNTIF(Data!HN:HN,"Rent_house_room_including_lot")</f>
        <v>0</v>
      </c>
      <c r="D28" s="6" t="e">
        <f>C28/C34</f>
        <v>#DIV/0!</v>
      </c>
    </row>
    <row r="29" spans="2:6" x14ac:dyDescent="0.25">
      <c r="B29" s="4" t="s">
        <v>852</v>
      </c>
      <c r="C29" s="5">
        <f>COUNTIF(Data!HN:HN,"Own_house_rent_free_with_cons")</f>
        <v>0</v>
      </c>
      <c r="D29" s="6" t="e">
        <f>C29/C34</f>
        <v>#DIV/0!</v>
      </c>
    </row>
    <row r="30" spans="2:6" x14ac:dyDescent="0.25">
      <c r="B30" s="4" t="s">
        <v>976</v>
      </c>
      <c r="C30" s="5">
        <f>COUNTIF(Data!HN:HN,"Own_house_rent_free_without_cons")</f>
        <v>0</v>
      </c>
      <c r="D30" s="6" t="e">
        <f>C30/C34</f>
        <v>#DIV/0!</v>
      </c>
    </row>
    <row r="31" spans="2:6" x14ac:dyDescent="0.25">
      <c r="B31" s="4" t="s">
        <v>977</v>
      </c>
      <c r="C31" s="5">
        <f>COUNTIF(Data!HN:HN,"Rent_free_house_and_with_cons")</f>
        <v>0</v>
      </c>
      <c r="D31" s="6" t="e">
        <f>C31/C34</f>
        <v>#DIV/0!</v>
      </c>
    </row>
    <row r="32" spans="2:6" x14ac:dyDescent="0.25">
      <c r="B32" s="4" t="s">
        <v>978</v>
      </c>
      <c r="C32" s="5">
        <f>COUNTIF(Data!HN:HN,"Rent_free_house_and_without_cons")</f>
        <v>0</v>
      </c>
      <c r="D32" s="6" t="e">
        <f>C32/C34</f>
        <v>#DIV/0!</v>
      </c>
    </row>
    <row r="33" spans="2:4" x14ac:dyDescent="0.25">
      <c r="B33" s="13" t="s">
        <v>770</v>
      </c>
      <c r="C33" s="14">
        <f>COUNTIF(Data!HN:HN,"Other")</f>
        <v>0</v>
      </c>
      <c r="D33" s="15" t="e">
        <f>C33/C34</f>
        <v>#DIV/0!</v>
      </c>
    </row>
    <row r="34" spans="2:4" x14ac:dyDescent="0.25">
      <c r="B34" s="59" t="s">
        <v>751</v>
      </c>
      <c r="C34" s="14">
        <f>SUM(C26:C33)</f>
        <v>0</v>
      </c>
      <c r="D34" s="23" t="e">
        <f>SUM(D26:D33)</f>
        <v>#DIV/0!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workbookViewId="0"/>
  </sheetViews>
  <sheetFormatPr defaultRowHeight="15" x14ac:dyDescent="0.25"/>
  <cols>
    <col min="2" max="2" width="17.5703125" customWidth="1"/>
    <col min="3" max="3" width="15.140625" customWidth="1"/>
    <col min="4" max="4" width="11.5703125" customWidth="1"/>
  </cols>
  <sheetData>
    <row r="1" spans="1:4" s="128" customFormat="1" ht="16.5" customHeight="1" x14ac:dyDescent="0.25">
      <c r="A1" s="127">
        <v>15</v>
      </c>
      <c r="B1" s="128" t="s">
        <v>744</v>
      </c>
    </row>
    <row r="3" spans="1:4" x14ac:dyDescent="0.25">
      <c r="B3" t="s">
        <v>260</v>
      </c>
    </row>
    <row r="4" spans="1:4" x14ac:dyDescent="0.25">
      <c r="B4" s="35" t="s">
        <v>1059</v>
      </c>
      <c r="C4" s="37" t="s">
        <v>1060</v>
      </c>
    </row>
    <row r="5" spans="1:4" x14ac:dyDescent="0.25">
      <c r="B5" s="13" t="s">
        <v>756</v>
      </c>
      <c r="C5" s="25" t="e">
        <f>AVERAGE(Data!NJ:NJ)</f>
        <v>#DIV/0!</v>
      </c>
    </row>
    <row r="7" spans="1:4" x14ac:dyDescent="0.25">
      <c r="B7" t="s">
        <v>261</v>
      </c>
    </row>
    <row r="8" spans="1:4" x14ac:dyDescent="0.25">
      <c r="B8" s="10" t="s">
        <v>1061</v>
      </c>
      <c r="C8" s="11" t="s">
        <v>755</v>
      </c>
      <c r="D8" s="12" t="s">
        <v>877</v>
      </c>
    </row>
    <row r="9" spans="1:4" x14ac:dyDescent="0.25">
      <c r="B9" s="24" t="s">
        <v>1343</v>
      </c>
      <c r="C9" s="5">
        <f>COUNTIF(Data!NK:NK,"&lt;5")</f>
        <v>0</v>
      </c>
      <c r="D9" s="6" t="e">
        <f>C9/C16</f>
        <v>#DIV/0!</v>
      </c>
    </row>
    <row r="10" spans="1:4" x14ac:dyDescent="0.25">
      <c r="B10" s="24" t="s">
        <v>1344</v>
      </c>
      <c r="C10" s="5">
        <f>COUNTIFS(Data!NK:NK,"&gt;5",Data!NK:NK,"&lt;=10")</f>
        <v>0</v>
      </c>
      <c r="D10" s="6" t="e">
        <f>C10/C16</f>
        <v>#DIV/0!</v>
      </c>
    </row>
    <row r="11" spans="1:4" x14ac:dyDescent="0.25">
      <c r="B11" s="4" t="s">
        <v>1340</v>
      </c>
      <c r="C11" s="5">
        <f>COUNTIFS(Data!NK:NK,"&gt;10",Data!NK:NK,"&lt;=15")</f>
        <v>0</v>
      </c>
      <c r="D11" s="6" t="e">
        <f>C11/C16</f>
        <v>#DIV/0!</v>
      </c>
    </row>
    <row r="12" spans="1:4" x14ac:dyDescent="0.25">
      <c r="B12" s="4" t="s">
        <v>836</v>
      </c>
      <c r="C12" s="5">
        <f>COUNTIFS(Data!NK:NK,"&gt;15",Data!NK:NK,"&lt;=20")</f>
        <v>0</v>
      </c>
      <c r="D12" s="6" t="e">
        <f>C12/C16</f>
        <v>#DIV/0!</v>
      </c>
    </row>
    <row r="13" spans="1:4" x14ac:dyDescent="0.25">
      <c r="B13" s="4" t="s">
        <v>1341</v>
      </c>
      <c r="C13" s="5">
        <f>COUNTIFS(Data!NK:NK,"&gt;20",Data!NK:NK,"&lt;=25")</f>
        <v>0</v>
      </c>
      <c r="D13" s="6" t="e">
        <f>C13/C16</f>
        <v>#DIV/0!</v>
      </c>
    </row>
    <row r="14" spans="1:4" x14ac:dyDescent="0.25">
      <c r="B14" s="4" t="s">
        <v>1342</v>
      </c>
      <c r="C14" s="5">
        <f>COUNTIFS(Data!NK:NK,"&gt;25",Data!NK:NK,"&lt;=30")</f>
        <v>0</v>
      </c>
      <c r="D14" s="6" t="e">
        <f>C14/C16</f>
        <v>#DIV/0!</v>
      </c>
    </row>
    <row r="15" spans="1:4" x14ac:dyDescent="0.25">
      <c r="B15" s="13" t="s">
        <v>840</v>
      </c>
      <c r="C15" s="14">
        <f>COUNTIFS(Data!NK:NK,"&gt;30")</f>
        <v>0</v>
      </c>
      <c r="D15" s="15" t="e">
        <f>C15/C16</f>
        <v>#DIV/0!</v>
      </c>
    </row>
    <row r="16" spans="1:4" x14ac:dyDescent="0.25">
      <c r="B16" s="16" t="s">
        <v>751</v>
      </c>
      <c r="C16" s="68">
        <f>SUM(C9:C15)</f>
        <v>0</v>
      </c>
      <c r="D16" s="15" t="e">
        <f>SUM(D9:D15)</f>
        <v>#DIV/0!</v>
      </c>
    </row>
    <row r="17" spans="2:4" x14ac:dyDescent="0.25">
      <c r="B17" s="16" t="s">
        <v>756</v>
      </c>
      <c r="C17" s="69" t="e">
        <f>AVERAGEIF(Data!NK:NK,"&gt;0")</f>
        <v>#DIV/0!</v>
      </c>
      <c r="D17" s="25"/>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sheetViews>
  <sheetFormatPr defaultRowHeight="15" x14ac:dyDescent="0.25"/>
  <cols>
    <col min="2" max="2" width="81.85546875" customWidth="1"/>
    <col min="3" max="3" width="12.140625" customWidth="1"/>
    <col min="4" max="4" width="14" customWidth="1"/>
  </cols>
  <sheetData>
    <row r="1" spans="1:4" s="128" customFormat="1" ht="16.5" customHeight="1" x14ac:dyDescent="0.25">
      <c r="A1" s="127">
        <v>16</v>
      </c>
      <c r="B1" s="128" t="s">
        <v>746</v>
      </c>
    </row>
    <row r="3" spans="1:4" x14ac:dyDescent="0.25">
      <c r="B3" t="s">
        <v>272</v>
      </c>
    </row>
    <row r="4" spans="1:4" x14ac:dyDescent="0.25">
      <c r="B4" s="35" t="s">
        <v>1052</v>
      </c>
      <c r="C4" s="36" t="s">
        <v>755</v>
      </c>
      <c r="D4" s="36" t="s">
        <v>748</v>
      </c>
    </row>
    <row r="5" spans="1:4" x14ac:dyDescent="0.25">
      <c r="B5" s="4" t="s">
        <v>749</v>
      </c>
      <c r="C5" s="5">
        <f>COUNTIF(Data!ON:ON,"Yes")</f>
        <v>0</v>
      </c>
      <c r="D5" s="6" t="e">
        <f>C5/C7</f>
        <v>#DIV/0!</v>
      </c>
    </row>
    <row r="6" spans="1:4" x14ac:dyDescent="0.25">
      <c r="B6" s="13" t="s">
        <v>750</v>
      </c>
      <c r="C6" s="14">
        <f>COUNTIF(Data!ON:ON,"No")</f>
        <v>0</v>
      </c>
      <c r="D6" s="15" t="e">
        <f>C6/C7</f>
        <v>#DIV/0!</v>
      </c>
    </row>
    <row r="7" spans="1:4" x14ac:dyDescent="0.25">
      <c r="B7" s="16" t="s">
        <v>751</v>
      </c>
      <c r="C7" s="14">
        <f>SUM(C5:C6)</f>
        <v>0</v>
      </c>
      <c r="D7" s="23" t="e">
        <f>SUM(D5:D6)</f>
        <v>#DIV/0!</v>
      </c>
    </row>
    <row r="8" spans="1:4" x14ac:dyDescent="0.25">
      <c r="B8" s="38"/>
      <c r="C8" s="5"/>
      <c r="D8" s="8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heetViews>
  <sheetFormatPr defaultRowHeight="15" x14ac:dyDescent="0.25"/>
  <cols>
    <col min="1" max="1" width="9.7109375" customWidth="1"/>
  </cols>
  <sheetData>
    <row r="1" spans="1:2" s="87" customFormat="1" ht="30" x14ac:dyDescent="0.25">
      <c r="A1" s="123" t="s">
        <v>1088</v>
      </c>
      <c r="B1" s="87" t="s">
        <v>1089</v>
      </c>
    </row>
    <row r="2" spans="1:2" s="124" customFormat="1" ht="16.5" customHeight="1" x14ac:dyDescent="0.25">
      <c r="A2" s="124">
        <v>1</v>
      </c>
      <c r="B2" s="124" t="s">
        <v>1091</v>
      </c>
    </row>
    <row r="3" spans="1:2" s="124" customFormat="1" ht="16.5" customHeight="1" x14ac:dyDescent="0.25">
      <c r="A3" s="124">
        <v>2</v>
      </c>
      <c r="B3" s="124" t="s">
        <v>1092</v>
      </c>
    </row>
    <row r="4" spans="1:2" s="124" customFormat="1" ht="16.5" customHeight="1" x14ac:dyDescent="0.25">
      <c r="A4" s="124">
        <v>3</v>
      </c>
      <c r="B4" s="124" t="s">
        <v>1093</v>
      </c>
    </row>
    <row r="5" spans="1:2" s="124" customFormat="1" ht="16.5" customHeight="1" x14ac:dyDescent="0.25">
      <c r="A5" s="124">
        <v>4</v>
      </c>
      <c r="B5" s="124" t="s">
        <v>1094</v>
      </c>
    </row>
    <row r="6" spans="1:2" s="124" customFormat="1" ht="16.5" customHeight="1" x14ac:dyDescent="0.25">
      <c r="A6" s="124">
        <v>5</v>
      </c>
      <c r="B6" s="124" t="s">
        <v>1095</v>
      </c>
    </row>
    <row r="7" spans="1:2" s="124" customFormat="1" ht="16.5" customHeight="1" x14ac:dyDescent="0.25">
      <c r="A7" s="124">
        <v>6</v>
      </c>
      <c r="B7" s="124" t="s">
        <v>745</v>
      </c>
    </row>
    <row r="8" spans="1:2" s="124" customFormat="1" x14ac:dyDescent="0.25">
      <c r="A8" s="124">
        <v>7</v>
      </c>
      <c r="B8" s="124" t="s">
        <v>739</v>
      </c>
    </row>
    <row r="9" spans="1:2" s="124" customFormat="1" x14ac:dyDescent="0.25">
      <c r="A9" s="124">
        <v>8</v>
      </c>
      <c r="B9" s="124" t="s">
        <v>736</v>
      </c>
    </row>
    <row r="10" spans="1:2" s="124" customFormat="1" ht="16.5" customHeight="1" x14ac:dyDescent="0.25">
      <c r="A10" s="124">
        <v>9</v>
      </c>
      <c r="B10" s="124" t="s">
        <v>742</v>
      </c>
    </row>
    <row r="11" spans="1:2" s="124" customFormat="1" x14ac:dyDescent="0.25">
      <c r="A11" s="124">
        <v>10</v>
      </c>
      <c r="B11" s="124" t="s">
        <v>1090</v>
      </c>
    </row>
    <row r="12" spans="1:2" s="124" customFormat="1" x14ac:dyDescent="0.25">
      <c r="A12" s="124">
        <v>11</v>
      </c>
      <c r="B12" s="124" t="s">
        <v>738</v>
      </c>
    </row>
    <row r="13" spans="1:2" s="124" customFormat="1" x14ac:dyDescent="0.25">
      <c r="A13" s="124">
        <v>12</v>
      </c>
      <c r="B13" s="124" t="s">
        <v>741</v>
      </c>
    </row>
    <row r="14" spans="1:2" s="124" customFormat="1" ht="16.5" customHeight="1" x14ac:dyDescent="0.25">
      <c r="A14" s="124">
        <v>13</v>
      </c>
      <c r="B14" s="124" t="s">
        <v>743</v>
      </c>
    </row>
    <row r="15" spans="1:2" s="124" customFormat="1" ht="16.5" customHeight="1" x14ac:dyDescent="0.25">
      <c r="A15" s="124">
        <v>14</v>
      </c>
      <c r="B15" s="124" t="s">
        <v>740</v>
      </c>
    </row>
    <row r="16" spans="1:2" s="124" customFormat="1" ht="16.5" customHeight="1" x14ac:dyDescent="0.25">
      <c r="A16" s="124">
        <v>15</v>
      </c>
      <c r="B16" s="124" t="s">
        <v>744</v>
      </c>
    </row>
    <row r="17" spans="1:2" s="124" customFormat="1" ht="16.5" customHeight="1" x14ac:dyDescent="0.25">
      <c r="A17" s="124">
        <v>16</v>
      </c>
      <c r="B17" s="124" t="s">
        <v>746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8"/>
  <sheetViews>
    <sheetView workbookViewId="0"/>
  </sheetViews>
  <sheetFormatPr defaultRowHeight="15" x14ac:dyDescent="0.25"/>
  <cols>
    <col min="2" max="2" width="34.28515625" customWidth="1"/>
    <col min="3" max="3" width="12.28515625" customWidth="1"/>
    <col min="4" max="4" width="13.28515625" customWidth="1"/>
  </cols>
  <sheetData>
    <row r="1" spans="1:4" s="128" customFormat="1" ht="16.5" customHeight="1" x14ac:dyDescent="0.25">
      <c r="A1" s="127">
        <v>1</v>
      </c>
      <c r="B1" s="128" t="s">
        <v>1096</v>
      </c>
    </row>
    <row r="3" spans="1:4" x14ac:dyDescent="0.25">
      <c r="B3" t="s">
        <v>1097</v>
      </c>
    </row>
    <row r="4" spans="1:4" x14ac:dyDescent="0.25">
      <c r="B4" s="1" t="s">
        <v>39</v>
      </c>
      <c r="C4" s="2" t="s">
        <v>755</v>
      </c>
      <c r="D4" s="3" t="s">
        <v>874</v>
      </c>
    </row>
    <row r="5" spans="1:4" x14ac:dyDescent="0.25">
      <c r="B5" s="89" t="s">
        <v>1098</v>
      </c>
      <c r="C5" s="90">
        <f>COUNTIF(Data!BC:BC,"Awdal")</f>
        <v>0</v>
      </c>
      <c r="D5" s="48" t="e">
        <f>C5/C23</f>
        <v>#DIV/0!</v>
      </c>
    </row>
    <row r="6" spans="1:4" x14ac:dyDescent="0.25">
      <c r="B6" s="89" t="s">
        <v>1099</v>
      </c>
      <c r="C6" s="90">
        <f>COUNTIF(Data!BC:BC,"Bakool")</f>
        <v>0</v>
      </c>
      <c r="D6" s="48" t="e">
        <f>C6/C23</f>
        <v>#DIV/0!</v>
      </c>
    </row>
    <row r="7" spans="1:4" x14ac:dyDescent="0.25">
      <c r="B7" s="89" t="s">
        <v>1100</v>
      </c>
      <c r="C7" s="90">
        <f>COUNTIF(Data!BC:BC,"Banaadir")</f>
        <v>0</v>
      </c>
      <c r="D7" s="48" t="e">
        <f>C7/C23</f>
        <v>#DIV/0!</v>
      </c>
    </row>
    <row r="8" spans="1:4" x14ac:dyDescent="0.25">
      <c r="B8" s="89" t="s">
        <v>1101</v>
      </c>
      <c r="C8" s="90">
        <f>COUNTIF(Data!BC:BC,"Bari")</f>
        <v>0</v>
      </c>
      <c r="D8" s="48" t="e">
        <f>C8/C23</f>
        <v>#DIV/0!</v>
      </c>
    </row>
    <row r="9" spans="1:4" x14ac:dyDescent="0.25">
      <c r="B9" s="89" t="s">
        <v>1102</v>
      </c>
      <c r="C9" s="90">
        <f>COUNTIF(Data!BC:BC,"Bay")</f>
        <v>0</v>
      </c>
      <c r="D9" s="48" t="e">
        <f>C9/C23</f>
        <v>#DIV/0!</v>
      </c>
    </row>
    <row r="10" spans="1:4" x14ac:dyDescent="0.25">
      <c r="B10" s="89" t="s">
        <v>1103</v>
      </c>
      <c r="C10" s="90">
        <f>COUNTIF(Data!BC:BC,"Galguduud")</f>
        <v>0</v>
      </c>
      <c r="D10" s="48" t="e">
        <f>C10/C23</f>
        <v>#DIV/0!</v>
      </c>
    </row>
    <row r="11" spans="1:4" x14ac:dyDescent="0.25">
      <c r="B11" s="89" t="s">
        <v>1104</v>
      </c>
      <c r="C11" s="90">
        <f>COUNTIF(Data!BC:BC,"Gedo")</f>
        <v>0</v>
      </c>
      <c r="D11" s="48" t="e">
        <f>C11/C23</f>
        <v>#DIV/0!</v>
      </c>
    </row>
    <row r="12" spans="1:4" x14ac:dyDescent="0.25">
      <c r="B12" s="89" t="s">
        <v>1105</v>
      </c>
      <c r="C12" s="90">
        <f>COUNTIF(Data!BC:BC,"Hiiraan")</f>
        <v>0</v>
      </c>
      <c r="D12" s="48" t="e">
        <f>C12/C23</f>
        <v>#DIV/0!</v>
      </c>
    </row>
    <row r="13" spans="1:4" x14ac:dyDescent="0.25">
      <c r="B13" s="89" t="s">
        <v>1106</v>
      </c>
      <c r="C13" s="90">
        <f>COUNTIF(Data!BC:BC,"Middle Juba")</f>
        <v>0</v>
      </c>
      <c r="D13" s="48" t="e">
        <f>C13/C23</f>
        <v>#DIV/0!</v>
      </c>
    </row>
    <row r="14" spans="1:4" x14ac:dyDescent="0.25">
      <c r="B14" s="89" t="s">
        <v>1107</v>
      </c>
      <c r="C14" s="90">
        <f>COUNTIF(Data!BC:BC,"Lower Juba")</f>
        <v>0</v>
      </c>
      <c r="D14" s="48" t="e">
        <f>C14/C23</f>
        <v>#DIV/0!</v>
      </c>
    </row>
    <row r="15" spans="1:4" x14ac:dyDescent="0.25">
      <c r="B15" s="89" t="s">
        <v>1108</v>
      </c>
      <c r="C15" s="90">
        <f>COUNTIF(Data!BC:BC,"Mudug")</f>
        <v>0</v>
      </c>
      <c r="D15" s="48" t="e">
        <f>C15/C23</f>
        <v>#DIV/0!</v>
      </c>
    </row>
    <row r="16" spans="1:4" x14ac:dyDescent="0.25">
      <c r="B16" s="89" t="s">
        <v>1109</v>
      </c>
      <c r="C16" s="90">
        <f>COUNTIF(Data!BC:BC,"Nugaal")</f>
        <v>0</v>
      </c>
      <c r="D16" s="48" t="e">
        <f>C16/C23</f>
        <v>#DIV/0!</v>
      </c>
    </row>
    <row r="17" spans="2:37" x14ac:dyDescent="0.25">
      <c r="B17" s="89" t="s">
        <v>1110</v>
      </c>
      <c r="C17" s="90">
        <f>COUNTIF(Data!BC:BC,"Sanaag")</f>
        <v>0</v>
      </c>
      <c r="D17" s="48" t="e">
        <f>C17/C23</f>
        <v>#DIV/0!</v>
      </c>
    </row>
    <row r="18" spans="2:37" x14ac:dyDescent="0.25">
      <c r="B18" s="89" t="s">
        <v>1111</v>
      </c>
      <c r="C18" s="90">
        <f>COUNTIF(Data!BC:BC,"Middle Shabelle")</f>
        <v>0</v>
      </c>
      <c r="D18" s="48" t="e">
        <f>C18/C23</f>
        <v>#DIV/0!</v>
      </c>
    </row>
    <row r="19" spans="2:37" x14ac:dyDescent="0.25">
      <c r="B19" s="89" t="s">
        <v>1112</v>
      </c>
      <c r="C19" s="90">
        <f>COUNTIF(Data!BC:BC,"Lower Shabelle")</f>
        <v>0</v>
      </c>
      <c r="D19" s="48" t="e">
        <f>C19/C23</f>
        <v>#DIV/0!</v>
      </c>
    </row>
    <row r="20" spans="2:37" x14ac:dyDescent="0.25">
      <c r="B20" s="89" t="s">
        <v>1113</v>
      </c>
      <c r="C20" s="90">
        <f>COUNTIF(Data!BC:BC,"Sool")</f>
        <v>0</v>
      </c>
      <c r="D20" s="48" t="e">
        <f>C20/C23</f>
        <v>#DIV/0!</v>
      </c>
    </row>
    <row r="21" spans="2:37" x14ac:dyDescent="0.25">
      <c r="B21" s="89" t="s">
        <v>1114</v>
      </c>
      <c r="C21" s="90">
        <f>COUNTIF(Data!BC:BC,"Togdheer")</f>
        <v>0</v>
      </c>
      <c r="D21" s="48" t="e">
        <f>C21/C23</f>
        <v>#DIV/0!</v>
      </c>
    </row>
    <row r="22" spans="2:37" x14ac:dyDescent="0.25">
      <c r="B22" s="91" t="s">
        <v>1115</v>
      </c>
      <c r="C22" s="92">
        <f>COUNTIF(Data!BC:BC,"Middle Shabelle")</f>
        <v>0</v>
      </c>
      <c r="D22" s="49" t="e">
        <f>C22/C23</f>
        <v>#DIV/0!</v>
      </c>
    </row>
    <row r="23" spans="2:37" x14ac:dyDescent="0.25">
      <c r="B23" s="93" t="s">
        <v>751</v>
      </c>
      <c r="C23" s="14">
        <f>SUM(C5:C22)</f>
        <v>0</v>
      </c>
      <c r="D23" s="49" t="e">
        <f>SUM(D5:D22)</f>
        <v>#DIV/0!</v>
      </c>
    </row>
    <row r="24" spans="2:37" x14ac:dyDescent="0.25">
      <c r="B24" s="94"/>
      <c r="C24" s="5"/>
      <c r="D24" s="95"/>
    </row>
    <row r="25" spans="2:37" x14ac:dyDescent="0.25">
      <c r="B25" s="94" t="s">
        <v>1116</v>
      </c>
      <c r="C25" s="5"/>
      <c r="D25" s="95"/>
    </row>
    <row r="26" spans="2:37" x14ac:dyDescent="0.25">
      <c r="B26" s="1" t="s">
        <v>1211</v>
      </c>
      <c r="C26" s="2" t="s">
        <v>755</v>
      </c>
      <c r="D26" s="2" t="s">
        <v>1101</v>
      </c>
      <c r="E26" s="2" t="s">
        <v>755</v>
      </c>
      <c r="F26" s="2" t="s">
        <v>1099</v>
      </c>
      <c r="G26" s="2" t="s">
        <v>755</v>
      </c>
      <c r="H26" s="2" t="s">
        <v>1098</v>
      </c>
      <c r="I26" s="2" t="s">
        <v>755</v>
      </c>
      <c r="J26" s="2" t="s">
        <v>1102</v>
      </c>
      <c r="K26" s="2" t="s">
        <v>755</v>
      </c>
      <c r="L26" s="2" t="s">
        <v>1117</v>
      </c>
      <c r="M26" s="2" t="s">
        <v>755</v>
      </c>
      <c r="N26" s="2" t="s">
        <v>1104</v>
      </c>
      <c r="O26" s="2" t="s">
        <v>755</v>
      </c>
      <c r="P26" s="2" t="s">
        <v>1118</v>
      </c>
      <c r="Q26" s="2" t="s">
        <v>755</v>
      </c>
      <c r="R26" s="2" t="s">
        <v>1106</v>
      </c>
      <c r="S26" s="2" t="s">
        <v>755</v>
      </c>
      <c r="T26" s="2" t="s">
        <v>1107</v>
      </c>
      <c r="U26" s="2" t="s">
        <v>755</v>
      </c>
      <c r="V26" s="2" t="s">
        <v>1108</v>
      </c>
      <c r="W26" s="2" t="s">
        <v>755</v>
      </c>
      <c r="X26" s="2" t="s">
        <v>1109</v>
      </c>
      <c r="Y26" s="2" t="s">
        <v>755</v>
      </c>
      <c r="Z26" s="2" t="s">
        <v>1110</v>
      </c>
      <c r="AA26" s="2" t="s">
        <v>755</v>
      </c>
      <c r="AB26" s="2" t="s">
        <v>1111</v>
      </c>
      <c r="AC26" s="2" t="s">
        <v>755</v>
      </c>
      <c r="AD26" s="2" t="s">
        <v>1112</v>
      </c>
      <c r="AE26" s="2" t="s">
        <v>755</v>
      </c>
      <c r="AF26" s="2" t="s">
        <v>1113</v>
      </c>
      <c r="AG26" s="2" t="s">
        <v>755</v>
      </c>
      <c r="AH26" s="2" t="s">
        <v>1114</v>
      </c>
      <c r="AI26" s="2" t="s">
        <v>755</v>
      </c>
      <c r="AJ26" s="2" t="s">
        <v>1115</v>
      </c>
      <c r="AK26" s="3" t="s">
        <v>755</v>
      </c>
    </row>
    <row r="27" spans="2:37" x14ac:dyDescent="0.25">
      <c r="B27" s="89" t="s">
        <v>1119</v>
      </c>
      <c r="C27" s="96">
        <f>COUNTIF(Data!BF:BF,"Abdiaziz")</f>
        <v>0</v>
      </c>
      <c r="D27" s="96" t="s">
        <v>1120</v>
      </c>
      <c r="E27" s="96">
        <f>COUNTIF(Data!BG:BG,"Bender-Bayla")</f>
        <v>0</v>
      </c>
      <c r="F27" s="96" t="s">
        <v>1121</v>
      </c>
      <c r="G27" s="96">
        <f>COUNTIF(Data!BE:BE,"Bender-Bayla")</f>
        <v>0</v>
      </c>
      <c r="H27" s="96" t="s">
        <v>1122</v>
      </c>
      <c r="I27" s="96">
        <f>COUNTIF(Data!BD:BD,"Baki")</f>
        <v>0</v>
      </c>
      <c r="J27" s="96" t="s">
        <v>1123</v>
      </c>
      <c r="K27" s="96">
        <f>COUNTIF(Data!BH:BH,"Baidoa")</f>
        <v>0</v>
      </c>
      <c r="L27" s="96" t="s">
        <v>1124</v>
      </c>
      <c r="M27" s="96">
        <f>COUNTIF(Data!BI:BI,"Caabudwag")</f>
        <v>0</v>
      </c>
      <c r="N27" s="96" t="s">
        <v>1125</v>
      </c>
      <c r="O27" s="96">
        <f>COUNTIF(Data!BJ:BJ,"Baardheere")</f>
        <v>0</v>
      </c>
      <c r="P27" s="96" t="s">
        <v>1126</v>
      </c>
      <c r="Q27" s="96">
        <f>COUNTIF(Data!BK:BK,"Beledweyne")</f>
        <v>0</v>
      </c>
      <c r="R27" s="96" t="s">
        <v>1127</v>
      </c>
      <c r="S27" s="96">
        <f>COUNTIF(Data!BL:BL,"Buaale")</f>
        <v>0</v>
      </c>
      <c r="T27" s="96" t="s">
        <v>1128</v>
      </c>
      <c r="U27" s="96">
        <f>COUNTIF(Data!BM:BM,"Afmadow")</f>
        <v>0</v>
      </c>
      <c r="V27" s="96" t="s">
        <v>1129</v>
      </c>
      <c r="W27" s="96">
        <f>COUNTIF(Data!BN:BN,"Gaalkacyo")</f>
        <v>0</v>
      </c>
      <c r="X27" s="96" t="s">
        <v>1130</v>
      </c>
      <c r="Y27" s="96">
        <f>COUNTIF(Data!BO:BO,"Burtinle")</f>
        <v>0</v>
      </c>
      <c r="Z27" s="96" t="s">
        <v>1131</v>
      </c>
      <c r="AA27" s="96">
        <f>COUNTIF(Data!BP:BP,Ceel-Afweyn)</f>
        <v>0</v>
      </c>
      <c r="AB27" s="96" t="s">
        <v>1132</v>
      </c>
      <c r="AC27" s="96">
        <f>COUNTIF(Data!BQ:BQ,"Yabaal")</f>
        <v>0</v>
      </c>
      <c r="AD27" s="96" t="s">
        <v>1133</v>
      </c>
      <c r="AE27" s="96">
        <f>COUNTIF(Data!BR:BR,"Afgoi")</f>
        <v>0</v>
      </c>
      <c r="AF27" s="96" t="s">
        <v>1134</v>
      </c>
      <c r="AG27" s="96">
        <f>COUNTIF(Data!BS:BS,"Caynaba")</f>
        <v>0</v>
      </c>
      <c r="AH27" s="96" t="s">
        <v>1135</v>
      </c>
      <c r="AI27" s="96">
        <f>COUNTIF(Data!BT:BT,"Burao")</f>
        <v>0</v>
      </c>
      <c r="AJ27" s="96" t="s">
        <v>1136</v>
      </c>
      <c r="AK27" s="97">
        <f>COUNTIF(Data!BU:BU,"Hargeisat")</f>
        <v>0</v>
      </c>
    </row>
    <row r="28" spans="2:37" x14ac:dyDescent="0.25">
      <c r="B28" s="89" t="s">
        <v>1137</v>
      </c>
      <c r="C28" s="96">
        <f>COUNTIF(Data!BF:BF,"Bondhere")</f>
        <v>0</v>
      </c>
      <c r="D28" s="96" t="s">
        <v>1138</v>
      </c>
      <c r="E28" s="96">
        <f>COUNTIF(Data!BG:BG,"Bosaso")</f>
        <v>0</v>
      </c>
      <c r="F28" s="96" t="s">
        <v>1139</v>
      </c>
      <c r="G28" s="96">
        <f>COUNTIF(Data!BE:BE,"Rabdhuure")</f>
        <v>0</v>
      </c>
      <c r="H28" s="96" t="s">
        <v>1140</v>
      </c>
      <c r="I28" s="96">
        <f>COUNTIF(Data!BD:BD,"Borama")</f>
        <v>0</v>
      </c>
      <c r="J28" s="96" t="s">
        <v>1141</v>
      </c>
      <c r="K28" s="96">
        <f>COUNTIF(Data!BH:BH,"Buurhakaba")</f>
        <v>0</v>
      </c>
      <c r="L28" s="96" t="s">
        <v>1142</v>
      </c>
      <c r="M28" s="96">
        <f>COUNTIF(Data!BI:BI,"Cadaado")</f>
        <v>0</v>
      </c>
      <c r="N28" s="96" t="s">
        <v>1143</v>
      </c>
      <c r="O28" s="96">
        <f>COUNTIF(Data!BJ:BJ,"Beled_Hawo")</f>
        <v>0</v>
      </c>
      <c r="P28" s="96" t="s">
        <v>1144</v>
      </c>
      <c r="Q28" s="96">
        <f>COUNTIF(Data!BK:BK,"Buuloburde")</f>
        <v>0</v>
      </c>
      <c r="R28" s="96" t="s">
        <v>1145</v>
      </c>
      <c r="S28" s="96">
        <f>COUNTIF(Data!BL:BL,"Jilib")</f>
        <v>0</v>
      </c>
      <c r="T28" s="96" t="s">
        <v>1146</v>
      </c>
      <c r="U28" s="96">
        <f>COUNTIF(Data!BM:BM,"Xagar")</f>
        <v>0</v>
      </c>
      <c r="V28" s="96" t="s">
        <v>1147</v>
      </c>
      <c r="W28" s="96">
        <f>COUNTIF(Data!BN:BN,"Galdogob")</f>
        <v>0</v>
      </c>
      <c r="X28" s="96" t="s">
        <v>1148</v>
      </c>
      <c r="Y28" s="96">
        <f>COUNTIF(Data!BO:BO,"Garoowe")</f>
        <v>0</v>
      </c>
      <c r="Z28" s="96" t="s">
        <v>1149</v>
      </c>
      <c r="AA28" s="96">
        <f>COUNTIF(Data!BP:BP,"Ceerigaabo")</f>
        <v>0</v>
      </c>
      <c r="AB28" s="96" t="s">
        <v>1150</v>
      </c>
      <c r="AC28" s="96">
        <f>COUNTIF(Data!BQ:BQ,"Balcad")</f>
        <v>0</v>
      </c>
      <c r="AD28" s="96" t="s">
        <v>1151</v>
      </c>
      <c r="AE28" s="96">
        <f>COUNTIF(Data!BR:BR,"Baraawe")</f>
        <v>0</v>
      </c>
      <c r="AF28" s="96" t="s">
        <v>1152</v>
      </c>
      <c r="AG28" s="96">
        <f>COUNTIF(Data!BS:BS,"Laascaanood")</f>
        <v>0</v>
      </c>
      <c r="AH28" s="96" t="s">
        <v>1153</v>
      </c>
      <c r="AI28" s="96">
        <f>COUNTIF(Data!BT:BT,"Buuhoodle")</f>
        <v>0</v>
      </c>
      <c r="AJ28" s="96" t="s">
        <v>1154</v>
      </c>
      <c r="AK28" s="97">
        <f>COUNTIF(Data!BU:BU,"Gabiley")</f>
        <v>0</v>
      </c>
    </row>
    <row r="29" spans="2:37" x14ac:dyDescent="0.25">
      <c r="B29" s="89" t="s">
        <v>1155</v>
      </c>
      <c r="C29" s="96">
        <f>COUNTIF(Data!BF:BF,"Daynile")</f>
        <v>0</v>
      </c>
      <c r="D29" s="96" t="s">
        <v>1156</v>
      </c>
      <c r="E29" s="96">
        <f>COUNTIF(Data!BG:BG,"Caluula")</f>
        <v>0</v>
      </c>
      <c r="F29" s="96" t="s">
        <v>1157</v>
      </c>
      <c r="G29" s="96">
        <f>COUNTIF(Data!BE:BE,"Tiyeeglow")</f>
        <v>0</v>
      </c>
      <c r="H29" s="96" t="s">
        <v>1158</v>
      </c>
      <c r="I29" s="96">
        <f>COUNTIF(Data!BD:BD,"Lughaya")</f>
        <v>0</v>
      </c>
      <c r="J29" s="96" t="s">
        <v>1159</v>
      </c>
      <c r="K29" s="96">
        <f>COUNTIF(Data!BH:BH,"Diinsoor")</f>
        <v>0</v>
      </c>
      <c r="L29" s="96" t="s">
        <v>1160</v>
      </c>
      <c r="M29" s="96">
        <f>COUNTIF(Data!BI:BI,"Ceelbuur")</f>
        <v>0</v>
      </c>
      <c r="N29" s="96" t="s">
        <v>1161</v>
      </c>
      <c r="O29" s="96">
        <f>COUNTIF(Data!BJ:BJ,"Ceelwaaq")</f>
        <v>0</v>
      </c>
      <c r="P29" s="96" t="s">
        <v>1162</v>
      </c>
      <c r="Q29" s="96">
        <f>COUNTIF(Data!BK:BK,"Jalalaqsi")</f>
        <v>0</v>
      </c>
      <c r="R29" s="96" t="s">
        <v>1163</v>
      </c>
      <c r="S29" s="96">
        <f>COUNTIF(Data!BL:BL,"Sakow")</f>
        <v>0</v>
      </c>
      <c r="T29" s="96" t="s">
        <v>1164</v>
      </c>
      <c r="U29" s="96">
        <f>COUNTIF(Data!BM:BM,"Badhaadhe")</f>
        <v>0</v>
      </c>
      <c r="V29" s="96" t="s">
        <v>1165</v>
      </c>
      <c r="W29" s="96">
        <f>COUNTIF(Data!BN:BN,"Harardheere")</f>
        <v>0</v>
      </c>
      <c r="X29" s="96" t="s">
        <v>1166</v>
      </c>
      <c r="Y29" s="96">
        <f>COUNTIF(Data!BO:BO,"Eyl")</f>
        <v>0</v>
      </c>
      <c r="Z29" s="96" t="s">
        <v>1167</v>
      </c>
      <c r="AA29" s="96">
        <f>COUNTIF(Data!BP:BP,"Dhahar")</f>
        <v>0</v>
      </c>
      <c r="AB29" s="96" t="s">
        <v>1168</v>
      </c>
      <c r="AC29" s="96">
        <f>COUNTIF(Data!BQ:BQ,"Cadale")</f>
        <v>0</v>
      </c>
      <c r="AD29" s="96" t="s">
        <v>1169</v>
      </c>
      <c r="AE29" s="96">
        <f>COUNTIF(Data!BR:BR,"Kurtunwarey")</f>
        <v>0</v>
      </c>
      <c r="AF29" s="96" t="s">
        <v>1170</v>
      </c>
      <c r="AG29" s="96">
        <f>COUNTIF(Data!BS:BS,"Taleex")</f>
        <v>0</v>
      </c>
      <c r="AH29" s="96" t="s">
        <v>1171</v>
      </c>
      <c r="AI29" s="96">
        <f>COUNTIF(Data!BT:BT,"Oodwayne")</f>
        <v>0</v>
      </c>
      <c r="AJ29" s="96" t="s">
        <v>1172</v>
      </c>
      <c r="AK29" s="97">
        <f>COUNTIF(Data!BU:BU,"Berbera")</f>
        <v>0</v>
      </c>
    </row>
    <row r="30" spans="2:37" x14ac:dyDescent="0.25">
      <c r="B30" s="89" t="s">
        <v>1173</v>
      </c>
      <c r="C30" s="96">
        <f>COUNTIF(Data!BF:BF,"Dharkenley")</f>
        <v>0</v>
      </c>
      <c r="D30" s="96" t="s">
        <v>1174</v>
      </c>
      <c r="E30" s="96">
        <f>COUNTIF(Data!BG:BG,"Iskushuban")</f>
        <v>0</v>
      </c>
      <c r="F30" s="96" t="s">
        <v>1175</v>
      </c>
      <c r="G30" s="96">
        <f>COUNTIF(Data!BE:BE,"Waajid")</f>
        <v>0</v>
      </c>
      <c r="H30" s="96" t="s">
        <v>1176</v>
      </c>
      <c r="I30" s="96">
        <f>COUNTIF(Data!BD:BD,"Saylac")</f>
        <v>0</v>
      </c>
      <c r="J30" s="96" t="s">
        <v>1177</v>
      </c>
      <c r="K30" s="96">
        <f>COUNTIF(Data!BH:BH,"Qasahdhere")</f>
        <v>0</v>
      </c>
      <c r="L30" s="96" t="s">
        <v>1178</v>
      </c>
      <c r="M30" s="96">
        <f>COUNTIF(Data!BI:BI,"Ceeldheer")</f>
        <v>0</v>
      </c>
      <c r="N30" s="96" t="s">
        <v>1179</v>
      </c>
      <c r="O30" s="96">
        <f>COUNTIF(Data!BJ:BJ,"Doolow")</f>
        <v>0</v>
      </c>
      <c r="P30" s="96" t="s">
        <v>1180</v>
      </c>
      <c r="Q30" s="96">
        <f>COUNTIF(Data!BK:BK,"Mahas")</f>
        <v>0</v>
      </c>
      <c r="R30" s="96"/>
      <c r="S30" s="96"/>
      <c r="T30" s="96" t="s">
        <v>1181</v>
      </c>
      <c r="U30" s="96">
        <f>COUNTIF(Data!BM:BM,"Jamaame")</f>
        <v>0</v>
      </c>
      <c r="V30" s="96" t="s">
        <v>1182</v>
      </c>
      <c r="W30" s="96">
        <f>COUNTIF(Data!BN:BN,"Hobyo")</f>
        <v>0</v>
      </c>
      <c r="X30" s="96"/>
      <c r="Y30" s="96"/>
      <c r="Z30" s="96" t="s">
        <v>1183</v>
      </c>
      <c r="AA30" s="96">
        <f>COUNTIF(Data!BP:BP,"Laasqoray")</f>
        <v>0</v>
      </c>
      <c r="AB30" s="96" t="s">
        <v>1184</v>
      </c>
      <c r="AC30" s="96">
        <f>COUNTIF(Data!BQ:BQ,"Jowhar")</f>
        <v>0</v>
      </c>
      <c r="AD30" s="96" t="s">
        <v>1185</v>
      </c>
      <c r="AE30" s="96">
        <f>COUNTIF(Data!BR:BR,"Marka")</f>
        <v>0</v>
      </c>
      <c r="AF30" s="96" t="s">
        <v>1186</v>
      </c>
      <c r="AG30" s="96">
        <f>COUNTIF(Data!BS:BS,"Xudun")</f>
        <v>0</v>
      </c>
      <c r="AH30" s="96" t="s">
        <v>1187</v>
      </c>
      <c r="AI30" s="96">
        <f>COUNTIF(Data!BT:BT,"Sheikh")</f>
        <v>0</v>
      </c>
      <c r="AJ30" s="96"/>
      <c r="AK30" s="97"/>
    </row>
    <row r="31" spans="2:37" x14ac:dyDescent="0.25">
      <c r="B31" s="89" t="s">
        <v>1188</v>
      </c>
      <c r="C31" s="96">
        <f>COUNTIF(Data!BF:BF,"Hamar-Jajab")</f>
        <v>0</v>
      </c>
      <c r="D31" s="96" t="s">
        <v>1189</v>
      </c>
      <c r="E31" s="96">
        <f>COUNTIF(Data!BG:BG,"Qandala")</f>
        <v>0</v>
      </c>
      <c r="F31" s="96"/>
      <c r="G31" s="96"/>
      <c r="H31" s="96"/>
      <c r="I31" s="96"/>
      <c r="J31" s="96"/>
      <c r="K31" s="96"/>
      <c r="L31" s="96" t="s">
        <v>1190</v>
      </c>
      <c r="M31" s="96">
        <f>COUNTIF(Data!BI:BI,"Dhusamareb")</f>
        <v>0</v>
      </c>
      <c r="N31" s="96" t="s">
        <v>1191</v>
      </c>
      <c r="O31" s="96">
        <f>COUNTIF(Data!BJ:BJ,"Garbahaarreey")</f>
        <v>0</v>
      </c>
      <c r="P31" s="96"/>
      <c r="Q31" s="96"/>
      <c r="R31" s="96"/>
      <c r="S31" s="96"/>
      <c r="T31" s="96" t="s">
        <v>1192</v>
      </c>
      <c r="U31" s="96">
        <f>COUNTIF(Data!BM:BM,"Kismaayo")</f>
        <v>0</v>
      </c>
      <c r="V31" s="96" t="s">
        <v>1193</v>
      </c>
      <c r="W31" s="96">
        <f>COUNTIF(Data!BN:BN,"Jariiban")</f>
        <v>0</v>
      </c>
      <c r="X31" s="96"/>
      <c r="Y31" s="96"/>
      <c r="Z31" s="96"/>
      <c r="AA31" s="96"/>
      <c r="AB31" s="96"/>
      <c r="AC31" s="96"/>
      <c r="AD31" s="96" t="s">
        <v>1194</v>
      </c>
      <c r="AE31" s="96">
        <f>COUNTIF(Data!BR:BR,"Qoriyoleey")</f>
        <v>0</v>
      </c>
      <c r="AF31" s="96"/>
      <c r="AG31" s="96"/>
      <c r="AH31" s="96"/>
      <c r="AI31" s="96"/>
      <c r="AJ31" s="96"/>
      <c r="AK31" s="97"/>
    </row>
    <row r="32" spans="2:37" x14ac:dyDescent="0.25">
      <c r="B32" s="89" t="s">
        <v>1195</v>
      </c>
      <c r="C32" s="96">
        <f>COUNTIF(Data!BF:BF,"Hamar-Weyne")</f>
        <v>0</v>
      </c>
      <c r="D32" s="96" t="s">
        <v>1196</v>
      </c>
      <c r="E32" s="96">
        <f>COUNTIF(Data!BG:BG,"Qardho")</f>
        <v>0</v>
      </c>
      <c r="F32" s="96"/>
      <c r="G32" s="96"/>
      <c r="H32" s="96"/>
      <c r="I32" s="96"/>
      <c r="J32" s="96"/>
      <c r="K32" s="96"/>
      <c r="L32" s="96" t="s">
        <v>1197</v>
      </c>
      <c r="M32" s="96">
        <f>COUNTIF(Data!BI:BI,"Galhareri")</f>
        <v>0</v>
      </c>
      <c r="N32" s="96" t="s">
        <v>1198</v>
      </c>
      <c r="O32" s="96">
        <f>COUNTIF(Data!BJ:BJ,"Luuq")</f>
        <v>0</v>
      </c>
      <c r="P32" s="96"/>
      <c r="Q32" s="96"/>
      <c r="R32" s="96"/>
      <c r="S32" s="96"/>
      <c r="T32" s="96"/>
      <c r="U32" s="96"/>
      <c r="V32" s="96"/>
      <c r="W32" s="96"/>
      <c r="X32" s="96"/>
      <c r="Y32" s="96"/>
      <c r="Z32" s="96"/>
      <c r="AA32" s="96"/>
      <c r="AB32" s="96"/>
      <c r="AC32" s="96"/>
      <c r="AD32" s="96" t="s">
        <v>1199</v>
      </c>
      <c r="AE32" s="96">
        <f>COUNTIF(Data!BR:BR,"Sablaale")</f>
        <v>0</v>
      </c>
      <c r="AF32" s="96"/>
      <c r="AG32" s="96"/>
      <c r="AH32" s="96"/>
      <c r="AI32" s="96"/>
      <c r="AJ32" s="96"/>
      <c r="AK32" s="97"/>
    </row>
    <row r="33" spans="2:37" x14ac:dyDescent="0.25">
      <c r="B33" s="89" t="s">
        <v>1200</v>
      </c>
      <c r="C33" s="96">
        <f>COUNTIF(Data!BF:BF,"Hodan")</f>
        <v>0</v>
      </c>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t="s">
        <v>1201</v>
      </c>
      <c r="AE33" s="96">
        <f>COUNTIF(Data!BR:BR,"Walaweyn")</f>
        <v>0</v>
      </c>
      <c r="AF33" s="96"/>
      <c r="AG33" s="96"/>
      <c r="AH33" s="96"/>
      <c r="AI33" s="96"/>
      <c r="AJ33" s="96"/>
      <c r="AK33" s="97"/>
    </row>
    <row r="34" spans="2:37" x14ac:dyDescent="0.25">
      <c r="B34" s="89" t="s">
        <v>1202</v>
      </c>
      <c r="C34" s="96">
        <f>COUNTIF(Data!BF:BF,"Howl-Wadag")</f>
        <v>0</v>
      </c>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7"/>
    </row>
    <row r="35" spans="2:37" x14ac:dyDescent="0.25">
      <c r="B35" s="89" t="s">
        <v>1203</v>
      </c>
      <c r="C35" s="96">
        <f>COUNTIF(Data!BF:BF,"Huriwaa")</f>
        <v>0</v>
      </c>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7"/>
    </row>
    <row r="36" spans="2:37" x14ac:dyDescent="0.25">
      <c r="B36" s="89" t="s">
        <v>1204</v>
      </c>
      <c r="C36" s="96">
        <f>COUNTIF(Data!BF:BF,"Kaaraan")</f>
        <v>0</v>
      </c>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6"/>
      <c r="AD36" s="96"/>
      <c r="AE36" s="96"/>
      <c r="AF36" s="96"/>
      <c r="AG36" s="96"/>
      <c r="AH36" s="96"/>
      <c r="AI36" s="96"/>
      <c r="AJ36" s="96"/>
      <c r="AK36" s="97"/>
    </row>
    <row r="37" spans="2:37" x14ac:dyDescent="0.25">
      <c r="B37" s="89" t="s">
        <v>1205</v>
      </c>
      <c r="C37" s="96">
        <f>COUNTIF(Data!BF:BF,"Shibis")</f>
        <v>0</v>
      </c>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c r="AH37" s="96"/>
      <c r="AI37" s="96"/>
      <c r="AJ37" s="96"/>
      <c r="AK37" s="97"/>
    </row>
    <row r="38" spans="2:37" x14ac:dyDescent="0.25">
      <c r="B38" s="89" t="s">
        <v>1206</v>
      </c>
      <c r="C38" s="96">
        <f>COUNTIF(Data!BF:BF,"Shangaani")</f>
        <v>0</v>
      </c>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7"/>
    </row>
    <row r="39" spans="2:37" x14ac:dyDescent="0.25">
      <c r="B39" s="89" t="s">
        <v>1207</v>
      </c>
      <c r="C39" s="96">
        <f>COUNTIF(Data!BF:BF,"Waabari")</f>
        <v>0</v>
      </c>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c r="AD39" s="96"/>
      <c r="AE39" s="96"/>
      <c r="AF39" s="96"/>
      <c r="AG39" s="96"/>
      <c r="AH39" s="96"/>
      <c r="AI39" s="96"/>
      <c r="AJ39" s="96"/>
      <c r="AK39" s="97"/>
    </row>
    <row r="40" spans="2:37" x14ac:dyDescent="0.25">
      <c r="B40" s="89" t="s">
        <v>1208</v>
      </c>
      <c r="C40" s="96">
        <f>COUNTIF(Data!BF:BF,"Wadajir")</f>
        <v>0</v>
      </c>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6"/>
      <c r="AD40" s="96"/>
      <c r="AE40" s="96"/>
      <c r="AF40" s="96"/>
      <c r="AG40" s="96"/>
      <c r="AH40" s="96"/>
      <c r="AI40" s="96"/>
      <c r="AJ40" s="96"/>
      <c r="AK40" s="97"/>
    </row>
    <row r="41" spans="2:37" x14ac:dyDescent="0.25">
      <c r="B41" s="89" t="s">
        <v>1209</v>
      </c>
      <c r="C41" s="96">
        <f>COUNTIF(Data!BF:BF,"Wardhiigley")</f>
        <v>0</v>
      </c>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7"/>
    </row>
    <row r="42" spans="2:37" x14ac:dyDescent="0.25">
      <c r="B42" s="98" t="s">
        <v>1210</v>
      </c>
      <c r="C42" s="99">
        <f>COUNTIF(Data!BF:BF,"Yaaqshiid")</f>
        <v>0</v>
      </c>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25"/>
    </row>
    <row r="43" spans="2:37" x14ac:dyDescent="0.25">
      <c r="B43" s="125" t="s">
        <v>751</v>
      </c>
      <c r="C43" s="8">
        <f>SUM(C27:C42)</f>
        <v>0</v>
      </c>
      <c r="D43" s="126" t="s">
        <v>751</v>
      </c>
      <c r="E43" s="8">
        <f>SUM(E27:E32)</f>
        <v>0</v>
      </c>
      <c r="F43" s="126" t="s">
        <v>751</v>
      </c>
      <c r="G43" s="8">
        <f>SUM(G27:G30)</f>
        <v>0</v>
      </c>
      <c r="H43" s="126" t="s">
        <v>751</v>
      </c>
      <c r="I43" s="8">
        <f>SUM(I27:I30)</f>
        <v>0</v>
      </c>
      <c r="J43" s="8" t="s">
        <v>751</v>
      </c>
      <c r="K43" s="8">
        <f>SUM(K27:K30)</f>
        <v>0</v>
      </c>
      <c r="L43" s="8" t="s">
        <v>751</v>
      </c>
      <c r="M43" s="8">
        <f>SUM(M27:M32)</f>
        <v>0</v>
      </c>
      <c r="N43" s="8" t="s">
        <v>751</v>
      </c>
      <c r="O43" s="8">
        <f>SUM(O27:O32)</f>
        <v>0</v>
      </c>
      <c r="P43" s="8" t="s">
        <v>751</v>
      </c>
      <c r="Q43" s="8">
        <f>SUM(Q27:Q30)</f>
        <v>0</v>
      </c>
      <c r="R43" s="8" t="s">
        <v>751</v>
      </c>
      <c r="S43" s="8">
        <f>SUM(S27:S29)</f>
        <v>0</v>
      </c>
      <c r="T43" s="8" t="s">
        <v>751</v>
      </c>
      <c r="U43" s="8">
        <f>SUM(U27:U31)</f>
        <v>0</v>
      </c>
      <c r="V43" s="8" t="s">
        <v>751</v>
      </c>
      <c r="W43" s="8">
        <f>SUM(W27:W31)</f>
        <v>0</v>
      </c>
      <c r="X43" s="8" t="s">
        <v>751</v>
      </c>
      <c r="Y43" s="8">
        <f>SUM(Y27:Y29)</f>
        <v>0</v>
      </c>
      <c r="Z43" s="8" t="s">
        <v>751</v>
      </c>
      <c r="AA43" s="8">
        <f>SUM(AA27:AA30)</f>
        <v>0</v>
      </c>
      <c r="AB43" s="8" t="s">
        <v>751</v>
      </c>
      <c r="AC43" s="8">
        <f>SUM(AC27:AC30)</f>
        <v>0</v>
      </c>
      <c r="AD43" s="8" t="s">
        <v>751</v>
      </c>
      <c r="AE43" s="8">
        <f>SUM(AE27:AE33)</f>
        <v>0</v>
      </c>
      <c r="AF43" s="8" t="s">
        <v>751</v>
      </c>
      <c r="AG43" s="8">
        <f>SUM(AG27:AG30)</f>
        <v>0</v>
      </c>
      <c r="AH43" s="8" t="s">
        <v>751</v>
      </c>
      <c r="AI43" s="8">
        <f>SUM(AI27:AI30)</f>
        <v>0</v>
      </c>
      <c r="AJ43" s="8" t="s">
        <v>751</v>
      </c>
      <c r="AK43" s="79">
        <f>SUM(AK27:AK29)</f>
        <v>0</v>
      </c>
    </row>
    <row r="44" spans="2:37" x14ac:dyDescent="0.25">
      <c r="B44" s="94"/>
      <c r="C44" s="5"/>
      <c r="D44" s="95"/>
    </row>
    <row r="45" spans="2:37" x14ac:dyDescent="0.25">
      <c r="B45" s="94"/>
      <c r="C45" s="5"/>
      <c r="D45" s="95"/>
    </row>
    <row r="46" spans="2:37" x14ac:dyDescent="0.25">
      <c r="B46" s="94"/>
      <c r="C46" s="5"/>
      <c r="D46" s="95"/>
    </row>
    <row r="47" spans="2:37" x14ac:dyDescent="0.25">
      <c r="B47" s="94"/>
      <c r="C47" s="5"/>
      <c r="D47" s="95"/>
    </row>
    <row r="48" spans="2:37" x14ac:dyDescent="0.25">
      <c r="B48" s="94"/>
      <c r="C48" s="5"/>
      <c r="D48" s="9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workbookViewId="0"/>
  </sheetViews>
  <sheetFormatPr defaultRowHeight="15" x14ac:dyDescent="0.25"/>
  <cols>
    <col min="2" max="2" width="13.28515625" customWidth="1"/>
    <col min="3" max="4" width="12" customWidth="1"/>
    <col min="5" max="5" width="11.85546875" customWidth="1"/>
    <col min="6" max="6" width="9.42578125" customWidth="1"/>
  </cols>
  <sheetData>
    <row r="1" spans="1:14" s="128" customFormat="1" ht="16.5" customHeight="1" x14ac:dyDescent="0.25">
      <c r="A1" s="127">
        <v>2</v>
      </c>
      <c r="B1" s="128" t="s">
        <v>1092</v>
      </c>
    </row>
    <row r="3" spans="1:14" x14ac:dyDescent="0.25">
      <c r="B3" t="s">
        <v>1212</v>
      </c>
    </row>
    <row r="4" spans="1:14" x14ac:dyDescent="0.25">
      <c r="B4" s="1" t="s">
        <v>1213</v>
      </c>
      <c r="C4" s="2" t="s">
        <v>1214</v>
      </c>
      <c r="D4" s="2" t="s">
        <v>1214</v>
      </c>
      <c r="E4" s="2" t="s">
        <v>1215</v>
      </c>
      <c r="F4" s="3" t="s">
        <v>1215</v>
      </c>
    </row>
    <row r="5" spans="1:14" x14ac:dyDescent="0.25">
      <c r="B5" s="4" t="s">
        <v>1216</v>
      </c>
      <c r="C5">
        <f>SUM(Data!AJ5:AJ9827)</f>
        <v>0</v>
      </c>
      <c r="D5" s="31" t="e">
        <f>C5/(C11+E11)</f>
        <v>#DIV/0!</v>
      </c>
      <c r="E5">
        <f>SUM(Data!AQ5:AQ9827)</f>
        <v>0</v>
      </c>
      <c r="F5" s="6" t="e">
        <f>-E5/(E11+C11)</f>
        <v>#DIV/0!</v>
      </c>
    </row>
    <row r="6" spans="1:14" x14ac:dyDescent="0.25">
      <c r="B6" s="4" t="s">
        <v>1217</v>
      </c>
      <c r="C6">
        <f>SUM(Data!AK5:AK9827)</f>
        <v>0</v>
      </c>
      <c r="D6" s="31" t="e">
        <f>C6/(C11+E11)</f>
        <v>#DIV/0!</v>
      </c>
      <c r="E6">
        <f>SUM(Data!AR5:AR9827)</f>
        <v>0</v>
      </c>
      <c r="F6" s="6" t="e">
        <f>-E6/(E11+C11)</f>
        <v>#DIV/0!</v>
      </c>
    </row>
    <row r="7" spans="1:14" x14ac:dyDescent="0.25">
      <c r="B7" s="4" t="s">
        <v>1218</v>
      </c>
      <c r="C7">
        <f>SUM(Data!AL5:AL9827)</f>
        <v>0</v>
      </c>
      <c r="D7" s="31" t="e">
        <f>C7/(C11+E11)</f>
        <v>#DIV/0!</v>
      </c>
      <c r="E7">
        <f>SUM(Data!AS5:AS9827)</f>
        <v>0</v>
      </c>
      <c r="F7" s="6" t="e">
        <f>-E7/(E11+C11)</f>
        <v>#DIV/0!</v>
      </c>
    </row>
    <row r="8" spans="1:14" x14ac:dyDescent="0.25">
      <c r="B8" s="4" t="s">
        <v>1219</v>
      </c>
      <c r="C8">
        <f>SUM(Data!AM5:AM9827)</f>
        <v>0</v>
      </c>
      <c r="D8" s="31" t="e">
        <f>C8/(C11+E11)</f>
        <v>#DIV/0!</v>
      </c>
      <c r="E8">
        <f>SUM(Data!AT5:AT9827)</f>
        <v>0</v>
      </c>
      <c r="F8" s="6" t="e">
        <f>-E8/(E11+C11)</f>
        <v>#DIV/0!</v>
      </c>
    </row>
    <row r="9" spans="1:14" x14ac:dyDescent="0.25">
      <c r="B9" s="4" t="s">
        <v>1220</v>
      </c>
      <c r="C9">
        <f>SUM(Data!AN5:AN9827)</f>
        <v>0</v>
      </c>
      <c r="D9" s="31" t="e">
        <f>C9/(C11+E11)</f>
        <v>#DIV/0!</v>
      </c>
      <c r="E9">
        <f>SUM(Data!AU5:AU9827)</f>
        <v>0</v>
      </c>
      <c r="F9" s="6" t="e">
        <f>-E9/(E11+C11)</f>
        <v>#DIV/0!</v>
      </c>
    </row>
    <row r="10" spans="1:14" x14ac:dyDescent="0.25">
      <c r="B10" s="4" t="s">
        <v>1221</v>
      </c>
      <c r="C10">
        <f>SUM(Data!AO5:AO9827)</f>
        <v>0</v>
      </c>
      <c r="D10" s="31" t="e">
        <f>C10/(C11+E11)</f>
        <v>#DIV/0!</v>
      </c>
      <c r="E10">
        <f>SUM(Data!AV5:AV9827)</f>
        <v>0</v>
      </c>
      <c r="F10" s="6" t="e">
        <f>-E10/(E11+C11)</f>
        <v>#DIV/0!</v>
      </c>
    </row>
    <row r="11" spans="1:14" x14ac:dyDescent="0.25">
      <c r="B11" s="17" t="s">
        <v>751</v>
      </c>
      <c r="C11" s="116">
        <f>SUM( C5:C10)</f>
        <v>0</v>
      </c>
      <c r="D11" s="117" t="e">
        <f>SUM(D5:D10)</f>
        <v>#DIV/0!</v>
      </c>
      <c r="E11" s="8">
        <f>SUM(E5:E10)</f>
        <v>0</v>
      </c>
      <c r="F11" s="9" t="e">
        <f>SUM(F5:F10)</f>
        <v>#DIV/0!</v>
      </c>
    </row>
    <row r="13" spans="1:14" x14ac:dyDescent="0.25">
      <c r="A13" s="4"/>
      <c r="B13" s="5" t="s">
        <v>34</v>
      </c>
      <c r="C13" s="5"/>
      <c r="D13" s="5"/>
      <c r="E13" s="5"/>
      <c r="F13" s="5"/>
      <c r="G13" s="5"/>
      <c r="H13" s="5"/>
      <c r="I13" s="5"/>
      <c r="J13" s="5"/>
      <c r="K13" s="5"/>
      <c r="L13" s="5"/>
      <c r="M13" s="5"/>
      <c r="N13" s="5"/>
    </row>
    <row r="14" spans="1:14" x14ac:dyDescent="0.25">
      <c r="A14" s="4"/>
      <c r="B14" s="1" t="s">
        <v>1222</v>
      </c>
      <c r="C14" s="2" t="s">
        <v>747</v>
      </c>
      <c r="D14" s="3" t="s">
        <v>748</v>
      </c>
      <c r="E14" s="5"/>
      <c r="F14" s="5"/>
      <c r="G14" s="5"/>
      <c r="H14" s="5"/>
      <c r="I14" s="5"/>
      <c r="J14" s="5"/>
      <c r="K14" s="5"/>
      <c r="L14" s="5"/>
      <c r="M14" s="5"/>
      <c r="N14" s="5"/>
    </row>
    <row r="15" spans="1:14" x14ac:dyDescent="0.25">
      <c r="A15" s="5"/>
      <c r="B15" s="4" t="s">
        <v>749</v>
      </c>
      <c r="C15" s="5">
        <f>COUNTIF(Data!AX:AX,"Yes")</f>
        <v>0</v>
      </c>
      <c r="D15" s="6" t="e">
        <f>C15/C17</f>
        <v>#DIV/0!</v>
      </c>
      <c r="E15" s="5"/>
      <c r="F15" s="5"/>
      <c r="G15" s="100"/>
    </row>
    <row r="16" spans="1:14" x14ac:dyDescent="0.25">
      <c r="A16" s="5"/>
      <c r="B16" s="4" t="s">
        <v>750</v>
      </c>
      <c r="C16" s="5">
        <f>COUNTIF(Data!AX:AX,"No")</f>
        <v>0</v>
      </c>
      <c r="D16" s="6" t="e">
        <f>C16/C17</f>
        <v>#DIV/0!</v>
      </c>
      <c r="E16" s="5"/>
      <c r="F16" s="5"/>
      <c r="G16" s="100"/>
    </row>
    <row r="17" spans="1:7" x14ac:dyDescent="0.25">
      <c r="A17" s="5"/>
      <c r="B17" s="7" t="s">
        <v>751</v>
      </c>
      <c r="C17" s="8">
        <f>SUM(C15:C16)</f>
        <v>0</v>
      </c>
      <c r="D17" s="9" t="e">
        <f>SUM(D15:D16)</f>
        <v>#DIV/0!</v>
      </c>
      <c r="E17" s="5"/>
      <c r="F17" s="5"/>
      <c r="G17" s="100"/>
    </row>
    <row r="18" spans="1:7" x14ac:dyDescent="0.25">
      <c r="A18" s="5"/>
      <c r="B18" s="5"/>
      <c r="C18" s="5"/>
      <c r="D18" s="5"/>
      <c r="E18" s="5"/>
      <c r="F18" s="5"/>
      <c r="G18" s="100"/>
    </row>
    <row r="19" spans="1:7" x14ac:dyDescent="0.25">
      <c r="B19" s="38" t="s">
        <v>35</v>
      </c>
    </row>
    <row r="20" spans="1:7" x14ac:dyDescent="0.25">
      <c r="B20" s="1" t="s">
        <v>1223</v>
      </c>
      <c r="C20" s="2" t="s">
        <v>755</v>
      </c>
      <c r="D20" s="3" t="s">
        <v>748</v>
      </c>
    </row>
    <row r="21" spans="1:7" x14ac:dyDescent="0.25">
      <c r="B21" s="4" t="s">
        <v>1224</v>
      </c>
      <c r="C21" s="5">
        <f>COUNTIFS(Data!AY:AY,"&gt;=1",Data!AY:AY,"&lt;=2")</f>
        <v>0</v>
      </c>
      <c r="D21" s="6" t="e">
        <f>C21/C24</f>
        <v>#DIV/0!</v>
      </c>
    </row>
    <row r="22" spans="1:7" x14ac:dyDescent="0.25">
      <c r="B22" s="4" t="s">
        <v>1307</v>
      </c>
      <c r="C22" s="5">
        <f>COUNTIFS(Data!AY:AY,"&gt;=3",Data!AY:AY,"&lt;=4")</f>
        <v>0</v>
      </c>
      <c r="D22" s="6" t="e">
        <f>C22/C24</f>
        <v>#DIV/0!</v>
      </c>
    </row>
    <row r="23" spans="1:7" x14ac:dyDescent="0.25">
      <c r="B23" s="4" t="s">
        <v>1308</v>
      </c>
      <c r="C23" s="5">
        <f>COUNTIFS(Data!AY:AY,"&gt;4")</f>
        <v>0</v>
      </c>
      <c r="D23" s="6" t="e">
        <f>C23/C24</f>
        <v>#DIV/0!</v>
      </c>
    </row>
    <row r="24" spans="1:7" x14ac:dyDescent="0.25">
      <c r="B24" s="17" t="s">
        <v>751</v>
      </c>
      <c r="C24" s="8">
        <f>SUM(C21:C23)</f>
        <v>0</v>
      </c>
      <c r="D24" s="9" t="e">
        <f>SUM(D21:D23)</f>
        <v>#DIV/0!</v>
      </c>
    </row>
    <row r="25" spans="1:7" x14ac:dyDescent="0.25">
      <c r="B25" s="17" t="s">
        <v>756</v>
      </c>
      <c r="C25" s="102" t="e">
        <f>AVERAGE(Data!AY:AY)</f>
        <v>#DIV/0!</v>
      </c>
      <c r="D25" s="79"/>
    </row>
    <row r="26" spans="1:7" x14ac:dyDescent="0.25">
      <c r="B26" s="44"/>
      <c r="C26" s="5"/>
      <c r="D26" s="31"/>
    </row>
    <row r="27" spans="1:7" x14ac:dyDescent="0.25">
      <c r="B27" s="39" t="s">
        <v>65</v>
      </c>
    </row>
    <row r="28" spans="1:7" x14ac:dyDescent="0.25">
      <c r="B28" s="45" t="s">
        <v>814</v>
      </c>
      <c r="C28" s="46" t="s">
        <v>747</v>
      </c>
      <c r="D28" s="47" t="s">
        <v>815</v>
      </c>
    </row>
    <row r="29" spans="1:7" x14ac:dyDescent="0.25">
      <c r="B29" s="34" t="s">
        <v>816</v>
      </c>
      <c r="C29" s="44">
        <f>COUNTIF(Data!DH:DHC,"inside_settlement")</f>
        <v>0</v>
      </c>
      <c r="D29" s="48" t="e">
        <f>C29/C32</f>
        <v>#DIV/0!</v>
      </c>
    </row>
    <row r="30" spans="1:7" x14ac:dyDescent="0.25">
      <c r="B30" s="34" t="s">
        <v>817</v>
      </c>
      <c r="C30" s="44">
        <f>COUNTIF(Data!DH:DH,"outside_Settlements")</f>
        <v>0</v>
      </c>
      <c r="D30" s="48" t="e">
        <f>C30/C32</f>
        <v>#DIV/0!</v>
      </c>
    </row>
    <row r="31" spans="1:7" x14ac:dyDescent="0.25">
      <c r="B31" s="41" t="s">
        <v>811</v>
      </c>
      <c r="C31" s="42">
        <f>COUNTIF(Data!DH:DH,"Un_employed")</f>
        <v>0</v>
      </c>
      <c r="D31" s="49" t="e">
        <f>C31/C32</f>
        <v>#DIV/0!</v>
      </c>
    </row>
    <row r="32" spans="1:7" x14ac:dyDescent="0.25">
      <c r="B32" s="41" t="s">
        <v>751</v>
      </c>
      <c r="C32" s="42">
        <f>SUM(C29:C31)</f>
        <v>0</v>
      </c>
      <c r="D32" s="15" t="e">
        <f>SUM(D29:D31)</f>
        <v>#DIV/0!</v>
      </c>
    </row>
    <row r="33" spans="2:4" x14ac:dyDescent="0.25">
      <c r="B33" s="44"/>
      <c r="C33" s="5"/>
      <c r="D33" s="5"/>
    </row>
    <row r="34" spans="2:4" x14ac:dyDescent="0.25">
      <c r="B34" s="44" t="s">
        <v>66</v>
      </c>
      <c r="C34" s="5"/>
      <c r="D34" s="5"/>
    </row>
    <row r="35" spans="2:4" x14ac:dyDescent="0.25">
      <c r="B35" s="35" t="s">
        <v>818</v>
      </c>
      <c r="C35" s="40" t="s">
        <v>747</v>
      </c>
      <c r="D35" s="37" t="s">
        <v>748</v>
      </c>
    </row>
    <row r="36" spans="2:4" x14ac:dyDescent="0.25">
      <c r="B36" s="50" t="s">
        <v>1042</v>
      </c>
      <c r="C36" s="51">
        <f>COUNTIFS(Data!DI:DI,"&lt;1")</f>
        <v>0</v>
      </c>
      <c r="D36" s="48" t="e">
        <f>C36/C43</f>
        <v>#DIV/0!</v>
      </c>
    </row>
    <row r="37" spans="2:4" x14ac:dyDescent="0.25">
      <c r="B37" s="50" t="s">
        <v>819</v>
      </c>
      <c r="C37" s="51">
        <f>COUNTIFS(Data!DI:DI,"&lt;=1",Data!DI:DI,"&lt;=30")</f>
        <v>0</v>
      </c>
      <c r="D37" s="48" t="e">
        <f>C37/C43</f>
        <v>#DIV/0!</v>
      </c>
    </row>
    <row r="38" spans="2:4" x14ac:dyDescent="0.25">
      <c r="B38" s="50" t="s">
        <v>820</v>
      </c>
      <c r="C38" s="51">
        <f>COUNTIFS(Data!DI:DI,"&gt;30", Data!DI:DI,"&lt;=60")</f>
        <v>0</v>
      </c>
      <c r="D38" s="48" t="e">
        <f>C38/C43</f>
        <v>#DIV/0!</v>
      </c>
    </row>
    <row r="39" spans="2:4" x14ac:dyDescent="0.25">
      <c r="B39" s="50" t="s">
        <v>821</v>
      </c>
      <c r="C39" s="51">
        <f>COUNTIFS(Data!DI:DI,"&gt;60", Data!DI:DI,"&lt;=90")</f>
        <v>0</v>
      </c>
      <c r="D39" s="48" t="e">
        <f>C39/C43</f>
        <v>#DIV/0!</v>
      </c>
    </row>
    <row r="40" spans="2:4" x14ac:dyDescent="0.25">
      <c r="B40" s="50" t="s">
        <v>822</v>
      </c>
      <c r="C40" s="51">
        <f>COUNTIFS(Data!DI:DI,"&gt;90", Data!DI:DI,"&lt;=120")</f>
        <v>0</v>
      </c>
      <c r="D40" s="48" t="e">
        <f>C40/C43</f>
        <v>#DIV/0!</v>
      </c>
    </row>
    <row r="41" spans="2:4" x14ac:dyDescent="0.25">
      <c r="B41" s="50" t="s">
        <v>823</v>
      </c>
      <c r="C41" s="51">
        <f>COUNTIFS(Data!DI:DI,"&gt;120", Data!DI:DI,"&lt;=150")</f>
        <v>0</v>
      </c>
      <c r="D41" s="48" t="e">
        <f>C41/C43</f>
        <v>#DIV/0!</v>
      </c>
    </row>
    <row r="42" spans="2:4" x14ac:dyDescent="0.25">
      <c r="B42" s="52" t="s">
        <v>824</v>
      </c>
      <c r="C42" s="53">
        <f>COUNTIFS(Data!DI:DI,"&gt;150")</f>
        <v>0</v>
      </c>
      <c r="D42" s="49" t="e">
        <f>C42/C43</f>
        <v>#DIV/0!</v>
      </c>
    </row>
    <row r="43" spans="2:4" x14ac:dyDescent="0.25">
      <c r="B43" s="43" t="s">
        <v>751</v>
      </c>
      <c r="C43" s="54">
        <f>SUM(C37:C42)</f>
        <v>0</v>
      </c>
      <c r="D43" s="15" t="e">
        <f>SUM(D37:D42)</f>
        <v>#DIV/0!</v>
      </c>
    </row>
    <row r="44" spans="2:4" x14ac:dyDescent="0.25">
      <c r="B44" s="43" t="s">
        <v>756</v>
      </c>
      <c r="C44" s="55" t="e">
        <f>AVERAGEIF(Data!DI:DI, "&gt;0")</f>
        <v>#DIV/0!</v>
      </c>
      <c r="D44" s="15"/>
    </row>
    <row r="45" spans="2:4" x14ac:dyDescent="0.25">
      <c r="B45" s="39"/>
    </row>
    <row r="46" spans="2:4" x14ac:dyDescent="0.25">
      <c r="B46" s="56" t="s">
        <v>67</v>
      </c>
    </row>
    <row r="47" spans="2:4" x14ac:dyDescent="0.25">
      <c r="B47" s="35" t="s">
        <v>825</v>
      </c>
      <c r="C47" s="40" t="s">
        <v>747</v>
      </c>
      <c r="D47" s="37" t="s">
        <v>748</v>
      </c>
    </row>
    <row r="48" spans="2:4" x14ac:dyDescent="0.25">
      <c r="B48" s="34" t="s">
        <v>1042</v>
      </c>
      <c r="C48" s="51">
        <f>COUNTIF(Data!DJ:DJ,"&lt;1")</f>
        <v>0</v>
      </c>
      <c r="D48" s="6" t="e">
        <f>C48/C55</f>
        <v>#DIV/0!</v>
      </c>
    </row>
    <row r="49" spans="2:4" x14ac:dyDescent="0.25">
      <c r="B49" s="34" t="s">
        <v>828</v>
      </c>
      <c r="C49" s="51">
        <f>COUNTIFS(Data!DJ:DJ,"&gt;=1",Data!DJ:DJ,"&lt;=10")</f>
        <v>0</v>
      </c>
      <c r="D49" s="6" t="e">
        <f>C49/C55</f>
        <v>#DIV/0!</v>
      </c>
    </row>
    <row r="50" spans="2:4" x14ac:dyDescent="0.25">
      <c r="B50" s="34" t="s">
        <v>1309</v>
      </c>
      <c r="C50" s="51">
        <f>COUNTIFS(Data!DJ:DJ,"&gt;10",Data!DJ:DJ,"&lt;=20")</f>
        <v>0</v>
      </c>
      <c r="D50" s="6" t="e">
        <f>C50/C55</f>
        <v>#DIV/0!</v>
      </c>
    </row>
    <row r="51" spans="2:4" x14ac:dyDescent="0.25">
      <c r="B51" s="34" t="s">
        <v>829</v>
      </c>
      <c r="C51" s="51">
        <f>COUNTIFS(Data!DJ:DJ,"&gt;20",Data!DJ:DJ,"&lt;=30")</f>
        <v>0</v>
      </c>
      <c r="D51" s="6" t="e">
        <f>C51/C55</f>
        <v>#DIV/0!</v>
      </c>
    </row>
    <row r="52" spans="2:4" x14ac:dyDescent="0.25">
      <c r="B52" s="34" t="s">
        <v>830</v>
      </c>
      <c r="C52" s="51">
        <f>COUNTIFS(Data!DJ:DJ,"&gt;30",Data!DJ:DJ,"&lt;=40")</f>
        <v>0</v>
      </c>
      <c r="D52" s="6" t="e">
        <f>C52/C55</f>
        <v>#DIV/0!</v>
      </c>
    </row>
    <row r="53" spans="2:4" x14ac:dyDescent="0.25">
      <c r="B53" s="34" t="s">
        <v>831</v>
      </c>
      <c r="C53" s="51">
        <f>COUNTIFS(Data!DJ:DJ,"&gt;40",Data!DJ:DJ,"&lt;=50")</f>
        <v>0</v>
      </c>
      <c r="D53" s="6" t="e">
        <f>C53/C55</f>
        <v>#DIV/0!</v>
      </c>
    </row>
    <row r="54" spans="2:4" x14ac:dyDescent="0.25">
      <c r="B54" s="41" t="s">
        <v>832</v>
      </c>
      <c r="C54" s="53">
        <f>COUNTIF(Data!DJ:DJ,"&gt;50")</f>
        <v>0</v>
      </c>
      <c r="D54" s="15" t="e">
        <f>C54/C55</f>
        <v>#DIV/0!</v>
      </c>
    </row>
    <row r="55" spans="2:4" x14ac:dyDescent="0.25">
      <c r="B55" s="43" t="s">
        <v>751</v>
      </c>
      <c r="C55" s="14">
        <f>SUM(C49:C54)</f>
        <v>0</v>
      </c>
      <c r="D55" s="15" t="e">
        <f>SUM(D49:D54)</f>
        <v>#DIV/0!</v>
      </c>
    </row>
    <row r="56" spans="2:4" x14ac:dyDescent="0.25">
      <c r="B56" s="43" t="s">
        <v>756</v>
      </c>
      <c r="C56" s="55" t="e">
        <f>AVERAGEIF(Data!DJ:DJ, "&gt;0")</f>
        <v>#DIV/0!</v>
      </c>
      <c r="D56" s="15"/>
    </row>
    <row r="57" spans="2:4" x14ac:dyDescent="0.25">
      <c r="B57" s="44"/>
      <c r="C57" s="5"/>
    </row>
    <row r="58" spans="2:4" ht="15.75" x14ac:dyDescent="0.25">
      <c r="B58" s="39" t="s">
        <v>826</v>
      </c>
    </row>
    <row r="59" spans="2:4" x14ac:dyDescent="0.25">
      <c r="B59" s="35" t="s">
        <v>827</v>
      </c>
      <c r="C59" s="40" t="s">
        <v>755</v>
      </c>
      <c r="D59" s="57" t="s">
        <v>748</v>
      </c>
    </row>
    <row r="60" spans="2:4" x14ac:dyDescent="0.25">
      <c r="B60" s="34" t="s">
        <v>1042</v>
      </c>
      <c r="C60" s="51">
        <f>COUNTIF(Data!DK:DK,"&lt;1")</f>
        <v>0</v>
      </c>
      <c r="D60" s="6" t="e">
        <f>C60/C67</f>
        <v>#DIV/0!</v>
      </c>
    </row>
    <row r="61" spans="2:4" x14ac:dyDescent="0.25">
      <c r="B61" s="34" t="s">
        <v>833</v>
      </c>
      <c r="C61" s="51">
        <f>COUNTIFS(Data!DJ:DJ,"&gt;=1",Data!DJ:DJ,"&lt;=5")</f>
        <v>0</v>
      </c>
      <c r="D61" s="6" t="e">
        <f>C61/C67</f>
        <v>#DIV/0!</v>
      </c>
    </row>
    <row r="62" spans="2:4" x14ac:dyDescent="0.25">
      <c r="B62" s="34" t="s">
        <v>834</v>
      </c>
      <c r="C62" s="5">
        <f>COUNTIFS(Data!DJ:DJ,"&gt;5",Data!DJ:DJ,"&lt;=10")</f>
        <v>0</v>
      </c>
      <c r="D62" s="48" t="e">
        <f>C62/C67</f>
        <v>#DIV/0!</v>
      </c>
    </row>
    <row r="63" spans="2:4" x14ac:dyDescent="0.25">
      <c r="B63" s="34" t="s">
        <v>835</v>
      </c>
      <c r="C63" s="5">
        <f>COUNTIFS(Data!DJ:DJ,"&gt;10",Data!DJ:DJ,"&lt;=15")</f>
        <v>0</v>
      </c>
      <c r="D63" s="48" t="e">
        <f>C63/C67</f>
        <v>#DIV/0!</v>
      </c>
    </row>
    <row r="64" spans="2:4" x14ac:dyDescent="0.25">
      <c r="B64" s="34" t="s">
        <v>836</v>
      </c>
      <c r="C64" s="5">
        <f>COUNTIFS(Data!DJ:DJ,"&gt;15",Data!DJ:DJ,"&lt;=20")</f>
        <v>0</v>
      </c>
      <c r="D64" s="48" t="e">
        <f>C64/C67</f>
        <v>#DIV/0!</v>
      </c>
    </row>
    <row r="65" spans="2:4" x14ac:dyDescent="0.25">
      <c r="B65" s="34" t="s">
        <v>837</v>
      </c>
      <c r="C65" s="5">
        <f>COUNTIFS(Data!DJ:DJ,"&gt;20",Data!DJ:DJ,"&lt;=25")</f>
        <v>0</v>
      </c>
      <c r="D65" s="48" t="e">
        <f>C65/C67</f>
        <v>#DIV/0!</v>
      </c>
    </row>
    <row r="66" spans="2:4" x14ac:dyDescent="0.25">
      <c r="B66" s="41" t="s">
        <v>838</v>
      </c>
      <c r="C66" s="14">
        <f>COUNTIFS(Data!DJ:DJ,"&gt;25",Data!DJ:DJ,"&lt;=30")</f>
        <v>0</v>
      </c>
      <c r="D66" s="49" t="e">
        <f>C66/C67</f>
        <v>#DIV/0!</v>
      </c>
    </row>
    <row r="67" spans="2:4" x14ac:dyDescent="0.25">
      <c r="B67" s="43" t="s">
        <v>751</v>
      </c>
      <c r="C67" s="14">
        <f>SUM(C61:C66)</f>
        <v>0</v>
      </c>
      <c r="D67" s="49" t="e">
        <f>SUM(D61:D66)</f>
        <v>#DIV/0!</v>
      </c>
    </row>
    <row r="68" spans="2:4" x14ac:dyDescent="0.25">
      <c r="B68" s="43" t="s">
        <v>756</v>
      </c>
      <c r="C68" s="55" t="e">
        <f>AVERAGEIF(Data!DJ:DJ, "&gt;0")</f>
        <v>#DIV/0!</v>
      </c>
      <c r="D68" s="49"/>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workbookViewId="0"/>
  </sheetViews>
  <sheetFormatPr defaultRowHeight="15" x14ac:dyDescent="0.25"/>
  <cols>
    <col min="2" max="2" width="29.42578125" customWidth="1"/>
    <col min="3" max="3" width="12.42578125" customWidth="1"/>
    <col min="4" max="4" width="13" customWidth="1"/>
  </cols>
  <sheetData>
    <row r="1" spans="1:14" s="128" customFormat="1" ht="16.5" customHeight="1" x14ac:dyDescent="0.25">
      <c r="A1" s="127">
        <v>3</v>
      </c>
      <c r="B1" s="128" t="s">
        <v>1093</v>
      </c>
    </row>
    <row r="4" spans="1:14" x14ac:dyDescent="0.25">
      <c r="B4" t="s">
        <v>37</v>
      </c>
    </row>
    <row r="5" spans="1:14" x14ac:dyDescent="0.25">
      <c r="B5" s="10" t="s">
        <v>1225</v>
      </c>
      <c r="C5" s="11" t="s">
        <v>755</v>
      </c>
      <c r="D5" s="12" t="s">
        <v>748</v>
      </c>
    </row>
    <row r="6" spans="1:14" x14ac:dyDescent="0.25">
      <c r="B6" s="4" t="s">
        <v>1226</v>
      </c>
      <c r="C6" s="5">
        <f>COUNTIF(Data!BA:BA,"0")</f>
        <v>0</v>
      </c>
      <c r="D6" s="6" t="e">
        <f>C6/C10</f>
        <v>#DIV/0!</v>
      </c>
    </row>
    <row r="7" spans="1:14" x14ac:dyDescent="0.25">
      <c r="B7" s="4" t="s">
        <v>1227</v>
      </c>
      <c r="C7" s="5">
        <f>COUNTIFS(Data!BA:BA,"&gt;=1",Data!BA:BA,"&lt;=2")</f>
        <v>0</v>
      </c>
      <c r="D7" s="6" t="e">
        <f>C7/C10</f>
        <v>#DIV/0!</v>
      </c>
    </row>
    <row r="8" spans="1:14" x14ac:dyDescent="0.25">
      <c r="B8" s="4" t="s">
        <v>1311</v>
      </c>
      <c r="C8" s="5">
        <f>COUNTIFS(Data!BA:BA,"&gt;=3",Data!BA:BA,"&lt;=4")</f>
        <v>0</v>
      </c>
      <c r="D8" s="6" t="e">
        <f>C8/C10</f>
        <v>#DIV/0!</v>
      </c>
    </row>
    <row r="9" spans="1:14" x14ac:dyDescent="0.25">
      <c r="B9" s="13" t="s">
        <v>1310</v>
      </c>
      <c r="C9" s="14">
        <f>COUNTIFS(Data!BA:BA,"&gt;4")</f>
        <v>0</v>
      </c>
      <c r="D9" s="15" t="e">
        <f>C9/C10</f>
        <v>#DIV/0!</v>
      </c>
    </row>
    <row r="10" spans="1:14" x14ac:dyDescent="0.25">
      <c r="B10" s="16" t="s">
        <v>751</v>
      </c>
      <c r="C10" s="14">
        <f>SUM(C6:C9)</f>
        <v>0</v>
      </c>
      <c r="D10" s="15" t="e">
        <f>SUM(D6:D9)</f>
        <v>#DIV/0!</v>
      </c>
    </row>
    <row r="11" spans="1:14" x14ac:dyDescent="0.25">
      <c r="B11" s="17" t="s">
        <v>756</v>
      </c>
      <c r="C11" s="8" t="e">
        <f>AVERAGE(Data!BA:BA)</f>
        <v>#DIV/0!</v>
      </c>
      <c r="D11" s="18"/>
    </row>
    <row r="13" spans="1:14" x14ac:dyDescent="0.25">
      <c r="B13" t="s">
        <v>38</v>
      </c>
    </row>
    <row r="14" spans="1:14" x14ac:dyDescent="0.25">
      <c r="B14" s="10" t="s">
        <v>1228</v>
      </c>
      <c r="C14" s="11" t="s">
        <v>755</v>
      </c>
      <c r="D14" s="12" t="s">
        <v>748</v>
      </c>
    </row>
    <row r="15" spans="1:14" x14ac:dyDescent="0.25">
      <c r="A15" s="31"/>
      <c r="B15" s="4" t="s">
        <v>1229</v>
      </c>
      <c r="C15" s="5">
        <f>COUNTIF(Data!BB:BB,"&lt;1")</f>
        <v>0</v>
      </c>
      <c r="D15" s="6" t="e">
        <f>C15/C19</f>
        <v>#DIV/0!</v>
      </c>
    </row>
    <row r="16" spans="1:14" x14ac:dyDescent="0.25">
      <c r="B16" s="4" t="s">
        <v>1230</v>
      </c>
      <c r="C16" s="5">
        <f>COUNTIFS(Data!BB:BB,"&gt;=1",Data!BB:BB,"&lt;=2")</f>
        <v>0</v>
      </c>
      <c r="D16" s="6" t="e">
        <f>C16/C19</f>
        <v>#DIV/0!</v>
      </c>
      <c r="E16" s="62"/>
      <c r="G16" s="5"/>
      <c r="H16" s="5"/>
      <c r="I16" s="5"/>
      <c r="J16" s="5"/>
      <c r="K16" s="5"/>
      <c r="L16" s="5"/>
      <c r="M16" s="5"/>
      <c r="N16" s="5"/>
    </row>
    <row r="17" spans="2:14" x14ac:dyDescent="0.25">
      <c r="B17" s="4" t="s">
        <v>1313</v>
      </c>
      <c r="C17" s="5">
        <f>COUNTIFS(Data!BB:BB,"&gt;=3",Data!BB:BB,"&lt;=4")</f>
        <v>0</v>
      </c>
      <c r="D17" s="6" t="e">
        <f>C17/C19</f>
        <v>#DIV/0!</v>
      </c>
      <c r="E17" s="62"/>
      <c r="G17" s="5"/>
      <c r="H17" s="5"/>
      <c r="I17" s="5"/>
      <c r="J17" s="5"/>
      <c r="K17" s="5"/>
      <c r="L17" s="5"/>
      <c r="M17" s="5"/>
      <c r="N17" s="5"/>
    </row>
    <row r="18" spans="2:14" x14ac:dyDescent="0.25">
      <c r="B18" s="13" t="s">
        <v>1312</v>
      </c>
      <c r="C18" s="14">
        <f>COUNTIFS(Data!BB:BB,"&gt;4")</f>
        <v>0</v>
      </c>
      <c r="D18" s="15" t="e">
        <f>C18/C19</f>
        <v>#DIV/0!</v>
      </c>
      <c r="E18" s="62"/>
      <c r="G18" s="5"/>
      <c r="H18" s="5"/>
      <c r="I18" s="5"/>
      <c r="J18" s="5"/>
      <c r="K18" s="5"/>
      <c r="L18" s="5"/>
      <c r="M18" s="5"/>
      <c r="N18" s="5"/>
    </row>
    <row r="19" spans="2:14" x14ac:dyDescent="0.25">
      <c r="B19" s="16" t="s">
        <v>751</v>
      </c>
      <c r="C19" s="14">
        <f>SUM(C15:C18)</f>
        <v>0</v>
      </c>
      <c r="D19" s="15" t="e">
        <f>SUM(D15:D18)</f>
        <v>#DIV/0!</v>
      </c>
      <c r="E19" s="62"/>
      <c r="G19" s="5"/>
      <c r="H19" s="5"/>
      <c r="I19" s="5"/>
      <c r="J19" s="5"/>
      <c r="K19" s="5"/>
      <c r="L19" s="5"/>
      <c r="M19" s="5"/>
      <c r="N19" s="5"/>
    </row>
    <row r="20" spans="2:14" x14ac:dyDescent="0.25">
      <c r="B20" s="17" t="s">
        <v>756</v>
      </c>
      <c r="C20" s="101" t="e">
        <f>AVERAGE(Data!BB:BB)</f>
        <v>#DIV/0!</v>
      </c>
      <c r="D20" s="18"/>
      <c r="E20" s="62"/>
      <c r="G20" s="5"/>
      <c r="H20" s="5"/>
      <c r="I20" s="5"/>
      <c r="J20" s="5"/>
      <c r="K20" s="5"/>
      <c r="L20" s="5"/>
      <c r="M20" s="5"/>
      <c r="N20" s="5"/>
    </row>
    <row r="21" spans="2:14" x14ac:dyDescent="0.25">
      <c r="B21" s="38"/>
      <c r="C21" s="5"/>
      <c r="D21" s="31"/>
      <c r="E21" s="62"/>
      <c r="G21" s="5"/>
      <c r="H21" s="5"/>
      <c r="I21" s="5"/>
      <c r="J21" s="5"/>
      <c r="K21" s="5"/>
      <c r="L21" s="5"/>
      <c r="M21" s="5"/>
      <c r="N21" s="5"/>
    </row>
    <row r="22" spans="2:14" x14ac:dyDescent="0.25">
      <c r="B22" s="5" t="s">
        <v>1231</v>
      </c>
      <c r="C22" s="5"/>
      <c r="D22" s="5"/>
    </row>
    <row r="23" spans="2:14" x14ac:dyDescent="0.25">
      <c r="B23" s="35" t="s">
        <v>1232</v>
      </c>
      <c r="C23" s="36" t="s">
        <v>755</v>
      </c>
      <c r="D23" s="37" t="s">
        <v>748</v>
      </c>
    </row>
    <row r="24" spans="2:14" x14ac:dyDescent="0.25">
      <c r="B24" s="20" t="s">
        <v>1233</v>
      </c>
      <c r="C24" s="5">
        <f>COUNTIF(Data!AZ:AZ,"yes_female")</f>
        <v>0</v>
      </c>
      <c r="D24" s="6" t="e">
        <f>C24/C27</f>
        <v>#DIV/0!</v>
      </c>
    </row>
    <row r="25" spans="2:14" x14ac:dyDescent="0.25">
      <c r="B25" s="20" t="s">
        <v>1234</v>
      </c>
      <c r="C25" s="5">
        <f>COUNTIF(Data!AZ:AZ,"yes_male")</f>
        <v>0</v>
      </c>
      <c r="D25" s="6" t="e">
        <f>C25/C27</f>
        <v>#DIV/0!</v>
      </c>
    </row>
    <row r="26" spans="2:14" x14ac:dyDescent="0.25">
      <c r="B26" s="21" t="s">
        <v>1235</v>
      </c>
      <c r="C26" s="14">
        <f>COUNTIF(Data!AZ:AZ,"no")</f>
        <v>0</v>
      </c>
      <c r="D26" s="15" t="e">
        <f>C26/C27</f>
        <v>#DIV/0!</v>
      </c>
    </row>
    <row r="27" spans="2:14" x14ac:dyDescent="0.25">
      <c r="B27" s="59" t="s">
        <v>751</v>
      </c>
      <c r="C27" s="14">
        <f>SUM(C24:C26)</f>
        <v>0</v>
      </c>
      <c r="D27" s="15" t="e">
        <f>SUM(D24:D26)</f>
        <v>#DIV/0!</v>
      </c>
    </row>
    <row r="28" spans="2:14" x14ac:dyDescent="0.25">
      <c r="B28" s="64"/>
      <c r="C28" s="5"/>
      <c r="D28" s="31"/>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3"/>
  <sheetViews>
    <sheetView workbookViewId="0"/>
  </sheetViews>
  <sheetFormatPr defaultRowHeight="15" x14ac:dyDescent="0.25"/>
  <cols>
    <col min="2" max="2" width="14.5703125" customWidth="1"/>
    <col min="3" max="3" width="14" customWidth="1"/>
    <col min="4" max="4" width="15.42578125" customWidth="1"/>
  </cols>
  <sheetData>
    <row r="1" spans="1:14" s="128" customFormat="1" ht="16.5" customHeight="1" x14ac:dyDescent="0.25">
      <c r="A1" s="127">
        <v>4</v>
      </c>
      <c r="B1" s="128" t="s">
        <v>1094</v>
      </c>
    </row>
    <row r="3" spans="1:14" x14ac:dyDescent="0.25">
      <c r="B3" t="s">
        <v>40</v>
      </c>
      <c r="C3" s="100"/>
      <c r="D3" s="103"/>
      <c r="E3" s="62"/>
      <c r="G3" s="5"/>
      <c r="H3" s="5"/>
      <c r="I3" s="5"/>
      <c r="J3" s="5"/>
      <c r="K3" s="5"/>
      <c r="L3" s="5"/>
      <c r="M3" s="5"/>
      <c r="N3" s="5"/>
    </row>
    <row r="4" spans="1:14" x14ac:dyDescent="0.25">
      <c r="B4" s="1" t="s">
        <v>1236</v>
      </c>
      <c r="C4" s="2" t="s">
        <v>755</v>
      </c>
      <c r="D4" s="3" t="s">
        <v>748</v>
      </c>
      <c r="E4" s="62"/>
      <c r="G4" s="5"/>
      <c r="H4" s="5"/>
      <c r="I4" s="5"/>
      <c r="J4" s="5"/>
      <c r="K4" s="5"/>
      <c r="L4" s="5"/>
      <c r="M4" s="5"/>
      <c r="N4" s="5"/>
    </row>
    <row r="5" spans="1:14" x14ac:dyDescent="0.25">
      <c r="B5" s="89" t="s">
        <v>1237</v>
      </c>
      <c r="C5" s="5">
        <f>COUNTIF(Data!BV:BV,"*Insecurity*")</f>
        <v>0</v>
      </c>
      <c r="D5" s="6" t="e">
        <f>C5/C8</f>
        <v>#DIV/0!</v>
      </c>
      <c r="G5" s="5"/>
      <c r="H5" s="5"/>
      <c r="I5" s="5"/>
      <c r="J5" s="5"/>
      <c r="K5" s="5"/>
      <c r="L5" s="5"/>
      <c r="M5" s="5"/>
      <c r="N5" s="5"/>
    </row>
    <row r="6" spans="1:14" x14ac:dyDescent="0.25">
      <c r="B6" s="89" t="s">
        <v>1238</v>
      </c>
      <c r="C6" s="5">
        <f>COUNTIF(Data!BV:BV,"*Livelihoods*")</f>
        <v>0</v>
      </c>
      <c r="D6" s="6" t="e">
        <f>C6/C8</f>
        <v>#DIV/0!</v>
      </c>
      <c r="G6" s="5"/>
      <c r="H6" s="5"/>
      <c r="I6" s="5"/>
      <c r="J6" s="5"/>
      <c r="K6" s="5"/>
      <c r="L6" s="5"/>
      <c r="M6" s="5"/>
      <c r="N6" s="5"/>
    </row>
    <row r="7" spans="1:14" x14ac:dyDescent="0.25">
      <c r="B7" s="91" t="s">
        <v>770</v>
      </c>
      <c r="C7" s="14">
        <f>COUNTIF(Data!BV:BV,"*Other*")</f>
        <v>0</v>
      </c>
      <c r="D7" s="15" t="e">
        <f>C7/C8</f>
        <v>#DIV/0!</v>
      </c>
      <c r="G7" s="5"/>
      <c r="H7" s="5"/>
      <c r="I7" s="5"/>
      <c r="J7" s="5"/>
      <c r="K7" s="5"/>
      <c r="L7" s="5"/>
      <c r="M7" s="5"/>
      <c r="N7" s="5"/>
    </row>
    <row r="8" spans="1:14" x14ac:dyDescent="0.25">
      <c r="B8" s="17" t="s">
        <v>812</v>
      </c>
      <c r="C8" s="8">
        <f>SUM(C5:C7)</f>
        <v>0</v>
      </c>
      <c r="D8" s="9" t="e">
        <f>SUM(D2:D7)</f>
        <v>#DIV/0!</v>
      </c>
    </row>
    <row r="9" spans="1:14" x14ac:dyDescent="0.25">
      <c r="B9" s="17" t="s">
        <v>813</v>
      </c>
      <c r="C9" s="8">
        <f>COUNTIF(Data!BV5:BV9827,"*e*")</f>
        <v>0</v>
      </c>
      <c r="D9" s="9"/>
    </row>
    <row r="11" spans="1:14" x14ac:dyDescent="0.25">
      <c r="B11" t="s">
        <v>42</v>
      </c>
    </row>
    <row r="12" spans="1:14" x14ac:dyDescent="0.25">
      <c r="B12" s="1" t="s">
        <v>1239</v>
      </c>
      <c r="C12" s="2" t="s">
        <v>1240</v>
      </c>
      <c r="D12" s="3" t="s">
        <v>748</v>
      </c>
    </row>
    <row r="13" spans="1:14" x14ac:dyDescent="0.25">
      <c r="B13" s="20" t="s">
        <v>1241</v>
      </c>
      <c r="C13" s="5">
        <f>COUNTIF(Data!BX:BX,"four_6yrs_ago")</f>
        <v>0</v>
      </c>
      <c r="D13" s="6" t="e">
        <f>C13/C18</f>
        <v>#DIV/0!</v>
      </c>
    </row>
    <row r="14" spans="1:14" x14ac:dyDescent="0.25">
      <c r="B14" s="20" t="s">
        <v>1242</v>
      </c>
      <c r="C14" s="5">
        <f>COUNTIF(Data!BX:BX,"one_3yrs_ago")</f>
        <v>0</v>
      </c>
      <c r="D14" s="6" t="e">
        <f>C14/C18</f>
        <v>#DIV/0!</v>
      </c>
    </row>
    <row r="15" spans="1:14" x14ac:dyDescent="0.25">
      <c r="B15" s="20" t="s">
        <v>1243</v>
      </c>
      <c r="C15" s="5">
        <f>COUNTIF(Data!BX:BX,"six_12months_ago")</f>
        <v>0</v>
      </c>
      <c r="D15" s="6" t="e">
        <f>C15/C18</f>
        <v>#DIV/0!</v>
      </c>
    </row>
    <row r="16" spans="1:14" x14ac:dyDescent="0.25">
      <c r="B16" s="20" t="s">
        <v>1244</v>
      </c>
      <c r="C16" s="5">
        <f>COUNTIF(Data!BX:BX,"one_5months_ago")</f>
        <v>0</v>
      </c>
      <c r="D16" s="6" t="e">
        <f>C16/C18</f>
        <v>#DIV/0!</v>
      </c>
    </row>
    <row r="17" spans="2:4" x14ac:dyDescent="0.25">
      <c r="B17" s="20" t="s">
        <v>1245</v>
      </c>
      <c r="C17" s="5">
        <f>COUNTIF(Data!BX:BX,"Less_than_1_month_ago")</f>
        <v>0</v>
      </c>
      <c r="D17" s="6" t="e">
        <f>C17/C18</f>
        <v>#DIV/0!</v>
      </c>
    </row>
    <row r="18" spans="2:4" x14ac:dyDescent="0.25">
      <c r="B18" s="17" t="s">
        <v>751</v>
      </c>
      <c r="C18" s="8">
        <f>SUM(C13:C17)</f>
        <v>0</v>
      </c>
      <c r="D18" s="9" t="e">
        <f>SUM(D13:D17)</f>
        <v>#DIV/0!</v>
      </c>
    </row>
    <row r="19" spans="2:4" x14ac:dyDescent="0.25">
      <c r="B19" s="96"/>
      <c r="C19" s="5"/>
    </row>
    <row r="20" spans="2:4" x14ac:dyDescent="0.25">
      <c r="B20" t="s">
        <v>43</v>
      </c>
    </row>
    <row r="21" spans="2:4" x14ac:dyDescent="0.25">
      <c r="B21" s="1" t="s">
        <v>1246</v>
      </c>
      <c r="C21" s="2" t="s">
        <v>747</v>
      </c>
      <c r="D21" s="47" t="s">
        <v>748</v>
      </c>
    </row>
    <row r="22" spans="2:4" x14ac:dyDescent="0.25">
      <c r="B22" s="20" t="s">
        <v>1247</v>
      </c>
      <c r="C22" s="5">
        <f>COUNTIF(Data!BY:BY,"More_than_1_years_ago")</f>
        <v>0</v>
      </c>
      <c r="D22" s="48" t="e">
        <f>C22/C26</f>
        <v>#DIV/0!</v>
      </c>
    </row>
    <row r="23" spans="2:4" x14ac:dyDescent="0.25">
      <c r="B23" s="20" t="s">
        <v>1243</v>
      </c>
      <c r="C23" s="5">
        <f>COUNTIF(Data!BY:BY,"Between_6_and_12_months_ago")</f>
        <v>0</v>
      </c>
      <c r="D23" s="48" t="e">
        <f>C23/C26</f>
        <v>#DIV/0!</v>
      </c>
    </row>
    <row r="24" spans="2:4" x14ac:dyDescent="0.25">
      <c r="B24" s="20" t="s">
        <v>1248</v>
      </c>
      <c r="C24" s="5">
        <f>COUNTIF(Data!BY:BY,"Between_1_and_5_months_ago")</f>
        <v>0</v>
      </c>
      <c r="D24" s="48" t="e">
        <f>C24/C26</f>
        <v>#DIV/0!</v>
      </c>
    </row>
    <row r="25" spans="2:4" x14ac:dyDescent="0.25">
      <c r="B25" s="21" t="s">
        <v>1249</v>
      </c>
      <c r="C25" s="14">
        <f>COUNTIF(Data!BY:BY,"Less_than_1_month_ago")</f>
        <v>0</v>
      </c>
      <c r="D25" s="49" t="e">
        <f>C25/C26</f>
        <v>#DIV/0!</v>
      </c>
    </row>
    <row r="26" spans="2:4" x14ac:dyDescent="0.25">
      <c r="B26" s="21" t="s">
        <v>751</v>
      </c>
      <c r="C26" s="22">
        <f>SUM(C22:C25)</f>
        <v>0</v>
      </c>
      <c r="D26" s="49" t="e">
        <f>SUM(D22:D25)</f>
        <v>#DIV/0!</v>
      </c>
    </row>
    <row r="27" spans="2:4" x14ac:dyDescent="0.25">
      <c r="B27" s="96"/>
      <c r="C27" s="5"/>
      <c r="D27" s="104"/>
    </row>
    <row r="28" spans="2:4" x14ac:dyDescent="0.25">
      <c r="B28" s="96"/>
      <c r="C28" s="5"/>
      <c r="D28" s="104"/>
    </row>
    <row r="29" spans="2:4" x14ac:dyDescent="0.25">
      <c r="B29" t="s">
        <v>44</v>
      </c>
    </row>
    <row r="30" spans="2:4" x14ac:dyDescent="0.25">
      <c r="B30" s="1" t="s">
        <v>1250</v>
      </c>
      <c r="C30" s="2" t="s">
        <v>747</v>
      </c>
      <c r="D30" s="3" t="s">
        <v>748</v>
      </c>
    </row>
    <row r="31" spans="2:4" x14ac:dyDescent="0.25">
      <c r="B31" s="20" t="s">
        <v>1251</v>
      </c>
      <c r="C31" s="5">
        <f>COUNTIF(Data!BZ:BZ,"Security")</f>
        <v>0</v>
      </c>
      <c r="D31" s="48" t="e">
        <f>C31/C38</f>
        <v>#DIV/0!</v>
      </c>
    </row>
    <row r="32" spans="2:4" x14ac:dyDescent="0.25">
      <c r="B32" s="20" t="s">
        <v>1054</v>
      </c>
      <c r="C32" s="5">
        <f>COUNTIF(Data!BZ:BZ,"Shelter")</f>
        <v>0</v>
      </c>
      <c r="D32" s="48" t="e">
        <f>C32/C38</f>
        <v>#DIV/0!</v>
      </c>
    </row>
    <row r="33" spans="2:4" x14ac:dyDescent="0.25">
      <c r="B33" s="20" t="s">
        <v>1252</v>
      </c>
      <c r="C33" s="5">
        <f>COUNTIF(Data!BZ:BZ,"Access_to_education")</f>
        <v>0</v>
      </c>
      <c r="D33" s="48" t="e">
        <f>C33/C38</f>
        <v>#DIV/0!</v>
      </c>
    </row>
    <row r="34" spans="2:4" x14ac:dyDescent="0.25">
      <c r="B34" s="20" t="s">
        <v>1253</v>
      </c>
      <c r="C34" s="5">
        <f>COUNTIF(Data!BZ:BZ,"Access_to_health")</f>
        <v>0</v>
      </c>
      <c r="D34" s="48" t="e">
        <f>C34/C38</f>
        <v>#DIV/0!</v>
      </c>
    </row>
    <row r="35" spans="2:4" x14ac:dyDescent="0.25">
      <c r="B35" s="20" t="s">
        <v>1254</v>
      </c>
      <c r="C35" s="5">
        <f>COUNTIF(Data!BZ:BZ,"Access_to_livelihoods")</f>
        <v>0</v>
      </c>
      <c r="D35" s="48" t="e">
        <f>C35/C38</f>
        <v>#DIV/0!</v>
      </c>
    </row>
    <row r="36" spans="2:4" x14ac:dyDescent="0.25">
      <c r="B36" s="20" t="s">
        <v>1255</v>
      </c>
      <c r="C36" s="5">
        <f>COUNTIF(Data!BZ:BZ,"Land_tenure")</f>
        <v>0</v>
      </c>
      <c r="D36" s="48" t="e">
        <f>C36/C38</f>
        <v>#DIV/0!</v>
      </c>
    </row>
    <row r="37" spans="2:4" x14ac:dyDescent="0.25">
      <c r="B37" s="21" t="s">
        <v>770</v>
      </c>
      <c r="C37" s="14">
        <f>COUNTIF(Data!BZ:BZ,"Other")</f>
        <v>0</v>
      </c>
      <c r="D37" s="49" t="e">
        <f>C37/C38</f>
        <v>#DIV/0!</v>
      </c>
    </row>
    <row r="38" spans="2:4" x14ac:dyDescent="0.25">
      <c r="B38" s="21" t="s">
        <v>751</v>
      </c>
      <c r="C38" s="22">
        <f>SUM(C31:C37)</f>
        <v>0</v>
      </c>
      <c r="D38" s="49" t="e">
        <f>SUM(D31:D37)</f>
        <v>#DIV/0!</v>
      </c>
    </row>
    <row r="40" spans="2:4" x14ac:dyDescent="0.25">
      <c r="B40" t="s">
        <v>45</v>
      </c>
    </row>
    <row r="41" spans="2:4" x14ac:dyDescent="0.25">
      <c r="B41" s="1" t="s">
        <v>1256</v>
      </c>
      <c r="C41" s="2" t="s">
        <v>747</v>
      </c>
      <c r="D41" s="3" t="s">
        <v>748</v>
      </c>
    </row>
    <row r="42" spans="2:4" ht="15.75" customHeight="1" x14ac:dyDescent="0.25">
      <c r="B42" s="20" t="s">
        <v>1257</v>
      </c>
      <c r="C42" s="5">
        <f>COUNTIF(Data!CB:CB,"Return_to_the_place_of_origin")</f>
        <v>0</v>
      </c>
      <c r="D42" s="48" t="e">
        <f>C42/C47</f>
        <v>#DIV/0!</v>
      </c>
    </row>
    <row r="43" spans="2:4" ht="15.75" customHeight="1" x14ac:dyDescent="0.25">
      <c r="B43" s="20" t="s">
        <v>1258</v>
      </c>
      <c r="C43" s="5">
        <f>COUNTIF(Data!CB:CB,"Stay_in_current_location")</f>
        <v>0</v>
      </c>
      <c r="D43" s="48" t="e">
        <f>C43/C47</f>
        <v>#DIV/0!</v>
      </c>
    </row>
    <row r="44" spans="2:4" ht="15.75" customHeight="1" x14ac:dyDescent="0.25">
      <c r="B44" s="20" t="s">
        <v>1259</v>
      </c>
      <c r="C44" s="5">
        <f>COUNTIF(Data!CB:CB,"Relocate_in_the_same_district")</f>
        <v>0</v>
      </c>
      <c r="D44" s="48" t="e">
        <f>C44/C47</f>
        <v>#DIV/0!</v>
      </c>
    </row>
    <row r="45" spans="2:4" ht="15.75" customHeight="1" x14ac:dyDescent="0.25">
      <c r="B45" s="20" t="s">
        <v>1260</v>
      </c>
      <c r="C45" s="5">
        <f>COUNTIF(Data!CB:CB,"Relocate_outside_district")</f>
        <v>0</v>
      </c>
      <c r="D45" s="48" t="e">
        <f>C45/C47</f>
        <v>#DIV/0!</v>
      </c>
    </row>
    <row r="46" spans="2:4" x14ac:dyDescent="0.25">
      <c r="B46" s="21" t="s">
        <v>1261</v>
      </c>
      <c r="C46" s="14">
        <f>COUNTIF(Data!CB:CB,"Dont_know")</f>
        <v>0</v>
      </c>
      <c r="D46" s="49" t="e">
        <f>C46/C47</f>
        <v>#DIV/0!</v>
      </c>
    </row>
    <row r="47" spans="2:4" ht="15.75" customHeight="1" x14ac:dyDescent="0.25">
      <c r="B47" s="21" t="s">
        <v>751</v>
      </c>
      <c r="C47" s="22">
        <f>SUM(C42:C46)</f>
        <v>0</v>
      </c>
      <c r="D47" s="105" t="e">
        <f>SUM(D42:D46)</f>
        <v>#DIV/0!</v>
      </c>
    </row>
    <row r="48" spans="2:4" ht="15.75" customHeight="1" x14ac:dyDescent="0.25">
      <c r="B48" s="94"/>
    </row>
    <row r="49" spans="2:9" x14ac:dyDescent="0.25">
      <c r="B49" t="s">
        <v>46</v>
      </c>
    </row>
    <row r="50" spans="2:9" x14ac:dyDescent="0.25">
      <c r="B50" s="1" t="s">
        <v>1262</v>
      </c>
      <c r="C50" s="2" t="s">
        <v>747</v>
      </c>
      <c r="D50" s="3" t="s">
        <v>748</v>
      </c>
    </row>
    <row r="51" spans="2:9" x14ac:dyDescent="0.25">
      <c r="B51" s="20" t="s">
        <v>1263</v>
      </c>
      <c r="C51" s="5">
        <f>COUNTIF(Data!CC:CC,"*Under_any_condition*")</f>
        <v>0</v>
      </c>
      <c r="D51" s="48" t="e">
        <f>C51/C59</f>
        <v>#DIV/0!</v>
      </c>
    </row>
    <row r="52" spans="2:9" x14ac:dyDescent="0.25">
      <c r="B52" s="20" t="s">
        <v>1264</v>
      </c>
      <c r="C52" s="5">
        <f>COUNTIF(Data!CC:CC,"*Improved_security*")</f>
        <v>0</v>
      </c>
      <c r="D52" s="48" t="e">
        <f>C52/C59</f>
        <v>#DIV/0!</v>
      </c>
    </row>
    <row r="53" spans="2:9" x14ac:dyDescent="0.25">
      <c r="B53" s="20" t="s">
        <v>1265</v>
      </c>
      <c r="C53" s="5">
        <f>COUNTIF(Data!CC:CC,"*If_chances_of_good_harvest*")</f>
        <v>0</v>
      </c>
      <c r="D53" s="48" t="e">
        <f>C53/C59</f>
        <v>#DIV/0!</v>
      </c>
    </row>
    <row r="54" spans="2:9" x14ac:dyDescent="0.25">
      <c r="B54" s="20" t="s">
        <v>1266</v>
      </c>
      <c r="C54" s="5">
        <f>COUNTIF(Data!CC:CC,"*If_transport_is_provided*")</f>
        <v>0</v>
      </c>
      <c r="D54" s="48" t="e">
        <f>C54/C59</f>
        <v>#DIV/0!</v>
      </c>
    </row>
    <row r="55" spans="2:9" x14ac:dyDescent="0.25">
      <c r="B55" s="20" t="s">
        <v>1267</v>
      </c>
      <c r="C55" s="5">
        <f>COUNTIF(Data!CC:CC,"*Access_to_health_facilities*")</f>
        <v>0</v>
      </c>
      <c r="D55" s="48" t="e">
        <f>C55/C59</f>
        <v>#DIV/0!</v>
      </c>
    </row>
    <row r="56" spans="2:9" x14ac:dyDescent="0.25">
      <c r="B56" s="20" t="s">
        <v>1268</v>
      </c>
      <c r="C56" s="5">
        <f>COUNTIF(Data!CC:CC,"*Access_to_education_facilities*")</f>
        <v>0</v>
      </c>
      <c r="D56" s="48" t="e">
        <f>C56/C59</f>
        <v>#DIV/0!</v>
      </c>
    </row>
    <row r="57" spans="2:9" x14ac:dyDescent="0.25">
      <c r="B57" s="20" t="s">
        <v>1269</v>
      </c>
      <c r="C57" s="5">
        <f>COUNTIF(Data!CC:CC,"*If_agricultural_tools*")</f>
        <v>0</v>
      </c>
      <c r="D57" s="48" t="e">
        <f>C57/C59</f>
        <v>#DIV/0!</v>
      </c>
    </row>
    <row r="58" spans="2:9" x14ac:dyDescent="0.25">
      <c r="B58" s="21" t="s">
        <v>770</v>
      </c>
      <c r="C58" s="14">
        <f>COUNTIF(Data!CC:CC,"*Other*")</f>
        <v>0</v>
      </c>
      <c r="D58" s="49" t="e">
        <f>C58/C59</f>
        <v>#DIV/0!</v>
      </c>
    </row>
    <row r="59" spans="2:9" x14ac:dyDescent="0.25">
      <c r="B59" s="21" t="s">
        <v>812</v>
      </c>
      <c r="C59" s="22">
        <f>SUM(C51:C58)</f>
        <v>0</v>
      </c>
      <c r="D59" s="49" t="e">
        <f>SUM(D51:D58)</f>
        <v>#DIV/0!</v>
      </c>
    </row>
    <row r="60" spans="2:9" x14ac:dyDescent="0.25">
      <c r="B60" s="67" t="s">
        <v>813</v>
      </c>
      <c r="C60" s="22">
        <f>COUNTIF(Data!CC5:CC9827,"*e*")</f>
        <v>0</v>
      </c>
      <c r="D60" s="106"/>
    </row>
    <row r="61" spans="2:9" x14ac:dyDescent="0.25">
      <c r="B61" s="64"/>
      <c r="C61" s="65"/>
      <c r="D61" s="104"/>
    </row>
    <row r="62" spans="2:9" x14ac:dyDescent="0.25">
      <c r="B62" t="s">
        <v>47</v>
      </c>
      <c r="H62" s="107"/>
      <c r="I62" s="107"/>
    </row>
    <row r="63" spans="2:9" x14ac:dyDescent="0.25">
      <c r="B63" s="1" t="s">
        <v>1270</v>
      </c>
      <c r="C63" s="2" t="s">
        <v>747</v>
      </c>
      <c r="D63" s="3" t="s">
        <v>748</v>
      </c>
    </row>
    <row r="64" spans="2:9" x14ac:dyDescent="0.25">
      <c r="B64" s="20" t="s">
        <v>1271</v>
      </c>
      <c r="C64" s="5">
        <f>COUNTIF(Data!CE:CE,"Sell")</f>
        <v>0</v>
      </c>
      <c r="D64" s="48" t="e">
        <f>C64/C69</f>
        <v>#DIV/0!</v>
      </c>
    </row>
    <row r="65" spans="2:4" x14ac:dyDescent="0.25">
      <c r="B65" s="20" t="s">
        <v>1272</v>
      </c>
      <c r="C65" s="5">
        <f>COUNTIF(Data!CE:CE,"Take_with_you")</f>
        <v>0</v>
      </c>
      <c r="D65" s="48" t="e">
        <f>C65/C69</f>
        <v>#DIV/0!</v>
      </c>
    </row>
    <row r="66" spans="2:4" x14ac:dyDescent="0.25">
      <c r="B66" s="20" t="s">
        <v>1273</v>
      </c>
      <c r="C66" s="5">
        <f>COUNTIF(Data!CE:CE,"Give_away")</f>
        <v>0</v>
      </c>
      <c r="D66" s="48" t="e">
        <f>C66/C69</f>
        <v>#DIV/0!</v>
      </c>
    </row>
    <row r="67" spans="2:4" x14ac:dyDescent="0.25">
      <c r="B67" s="20" t="s">
        <v>770</v>
      </c>
      <c r="C67" s="5">
        <f>COUNTIF(Data!CE:CE,"Other")</f>
        <v>0</v>
      </c>
      <c r="D67" s="48" t="e">
        <f>C67/C69</f>
        <v>#DIV/0!</v>
      </c>
    </row>
    <row r="68" spans="2:4" x14ac:dyDescent="0.25">
      <c r="B68" s="20" t="s">
        <v>1274</v>
      </c>
      <c r="C68" s="5">
        <f>COUNTIF(Data!CE:CE,"Leave_It_Behind")</f>
        <v>0</v>
      </c>
      <c r="D68" s="48" t="e">
        <f>C68/C69</f>
        <v>#DIV/0!</v>
      </c>
    </row>
    <row r="69" spans="2:4" x14ac:dyDescent="0.25">
      <c r="B69" s="66" t="s">
        <v>751</v>
      </c>
      <c r="C69" s="108">
        <f>SUM(C64:C68)</f>
        <v>0</v>
      </c>
      <c r="D69" s="109" t="e">
        <f>SUM(D64:D68)</f>
        <v>#DIV/0!</v>
      </c>
    </row>
    <row r="70" spans="2:4" x14ac:dyDescent="0.25">
      <c r="B70" s="110"/>
      <c r="C70" s="110"/>
      <c r="D70" s="110"/>
    </row>
    <row r="71" spans="2:4" x14ac:dyDescent="0.25">
      <c r="B71" s="110" t="s">
        <v>48</v>
      </c>
      <c r="C71" s="5"/>
    </row>
    <row r="72" spans="2:4" x14ac:dyDescent="0.25">
      <c r="B72" s="10" t="s">
        <v>1275</v>
      </c>
      <c r="C72" s="11" t="s">
        <v>1276</v>
      </c>
      <c r="D72" s="12" t="s">
        <v>748</v>
      </c>
    </row>
    <row r="73" spans="2:4" x14ac:dyDescent="0.25">
      <c r="B73" s="111" t="s">
        <v>1294</v>
      </c>
      <c r="C73" s="5">
        <f>COUNTIFS(Data!CG:CG, "&lt;20")</f>
        <v>0</v>
      </c>
      <c r="D73" s="48" t="e">
        <f>C73/C83</f>
        <v>#DIV/0!</v>
      </c>
    </row>
    <row r="74" spans="2:4" x14ac:dyDescent="0.25">
      <c r="B74" s="111" t="s">
        <v>1295</v>
      </c>
      <c r="C74" s="5">
        <f>COUNTIFS(Data!CG:CG, "&gt;= 20 ", Data!CG:CG, "&lt;=39")</f>
        <v>0</v>
      </c>
      <c r="D74" s="48" t="e">
        <f>C74/C83</f>
        <v>#DIV/0!</v>
      </c>
    </row>
    <row r="75" spans="2:4" x14ac:dyDescent="0.25">
      <c r="B75" s="111" t="s">
        <v>1296</v>
      </c>
      <c r="C75" s="5">
        <f>COUNTIFS(Data!CG:CG, "&gt;= 40 ", Data!CG:CG, "&lt;=59")</f>
        <v>0</v>
      </c>
      <c r="D75" s="48" t="e">
        <f>C75/C83</f>
        <v>#DIV/0!</v>
      </c>
    </row>
    <row r="76" spans="2:4" x14ac:dyDescent="0.25">
      <c r="B76" s="111" t="s">
        <v>1297</v>
      </c>
      <c r="C76" s="5">
        <f>COUNTIFS(Data!CG:CG, "&gt;=60 ", Data!CG:CG, "&lt;=79")</f>
        <v>0</v>
      </c>
      <c r="D76" s="48" t="e">
        <f>C76/C83</f>
        <v>#DIV/0!</v>
      </c>
    </row>
    <row r="77" spans="2:4" x14ac:dyDescent="0.25">
      <c r="B77" s="111" t="s">
        <v>1298</v>
      </c>
      <c r="C77" s="5">
        <f>COUNTIFS(Data!CG:CG, "&gt;= 80 ", Data!CG:CG, "&lt;=99")</f>
        <v>0</v>
      </c>
      <c r="D77" s="48" t="e">
        <f>C77/C83</f>
        <v>#DIV/0!</v>
      </c>
    </row>
    <row r="78" spans="2:4" x14ac:dyDescent="0.25">
      <c r="B78" s="111" t="s">
        <v>1299</v>
      </c>
      <c r="C78" s="5">
        <f>COUNTIFS(Data!CG:CG, "&gt;= 100 ", Data!CG:CG, "&lt;=119")</f>
        <v>0</v>
      </c>
      <c r="D78" s="48" t="e">
        <f>C78/C83</f>
        <v>#DIV/0!</v>
      </c>
    </row>
    <row r="79" spans="2:4" x14ac:dyDescent="0.25">
      <c r="B79" s="111" t="s">
        <v>1300</v>
      </c>
      <c r="C79" s="5">
        <f>COUNTIFS(Data!CG:CG, "&gt;=120 ", Data!CG:CG, "&lt;=139")</f>
        <v>0</v>
      </c>
      <c r="D79" s="48" t="e">
        <f>C79/C83</f>
        <v>#DIV/0!</v>
      </c>
    </row>
    <row r="80" spans="2:4" x14ac:dyDescent="0.25">
      <c r="B80" s="111" t="s">
        <v>1301</v>
      </c>
      <c r="C80" s="5">
        <f>COUNTIFS(Data!CG:CG, "&gt;=140 ", Data!CG:CG, "&lt;=159")</f>
        <v>0</v>
      </c>
      <c r="D80" s="48" t="e">
        <f>C80/C83</f>
        <v>#DIV/0!</v>
      </c>
    </row>
    <row r="81" spans="2:4" x14ac:dyDescent="0.25">
      <c r="B81" s="111" t="s">
        <v>1302</v>
      </c>
      <c r="C81" s="5">
        <f>COUNTIFS(Data!CG:CG, "&gt;=160 ", Data!CG:CG, "&lt;=189")</f>
        <v>0</v>
      </c>
      <c r="D81" s="48" t="e">
        <f>C81/C83</f>
        <v>#DIV/0!</v>
      </c>
    </row>
    <row r="82" spans="2:4" x14ac:dyDescent="0.25">
      <c r="B82" s="111" t="s">
        <v>1303</v>
      </c>
      <c r="C82" s="5">
        <f>COUNTIFS(Data!CG:CG, "&gt;189")</f>
        <v>0</v>
      </c>
      <c r="D82" s="48" t="e">
        <f>C82/C83</f>
        <v>#DIV/0!</v>
      </c>
    </row>
    <row r="83" spans="2:4" x14ac:dyDescent="0.25">
      <c r="B83" s="66" t="s">
        <v>751</v>
      </c>
      <c r="C83" s="108">
        <f>SUM(C73:C82)</f>
        <v>0</v>
      </c>
      <c r="D83" s="112" t="e">
        <f>SUM(D73:D82)</f>
        <v>#DIV/0!</v>
      </c>
    </row>
    <row r="84" spans="2:4" x14ac:dyDescent="0.25">
      <c r="B84" s="98" t="s">
        <v>756</v>
      </c>
      <c r="C84" s="30" t="e">
        <f>AVERAGE(Data!CG:CG)</f>
        <v>#DIV/0!</v>
      </c>
      <c r="D84" s="25"/>
    </row>
    <row r="85" spans="2:4" x14ac:dyDescent="0.25">
      <c r="B85" s="110"/>
      <c r="C85" s="5"/>
    </row>
    <row r="86" spans="2:4" x14ac:dyDescent="0.25">
      <c r="B86" s="110" t="s">
        <v>49</v>
      </c>
      <c r="C86" s="5"/>
    </row>
    <row r="87" spans="2:4" ht="15.75" customHeight="1" x14ac:dyDescent="0.25">
      <c r="B87" s="1" t="s">
        <v>1277</v>
      </c>
      <c r="C87" s="2" t="s">
        <v>1276</v>
      </c>
      <c r="D87" s="3" t="s">
        <v>748</v>
      </c>
    </row>
    <row r="88" spans="2:4" ht="15" customHeight="1" x14ac:dyDescent="0.25">
      <c r="B88" s="20" t="s">
        <v>1278</v>
      </c>
      <c r="C88" s="5">
        <f>COUNTIF(Data!CH:CH, "*No_relation_with_place*")</f>
        <v>0</v>
      </c>
      <c r="D88" s="48" t="e">
        <f>C88/C95</f>
        <v>#DIV/0!</v>
      </c>
    </row>
    <row r="89" spans="2:4" x14ac:dyDescent="0.25">
      <c r="B89" s="20" t="s">
        <v>1279</v>
      </c>
      <c r="C89" s="5">
        <f>COUNTIF(Data!CH:CH, "*No_information_about_place*")</f>
        <v>0</v>
      </c>
      <c r="D89" s="48" t="e">
        <f>C89/C95</f>
        <v>#DIV/0!</v>
      </c>
    </row>
    <row r="90" spans="2:4" x14ac:dyDescent="0.25">
      <c r="B90" s="20" t="s">
        <v>1280</v>
      </c>
      <c r="C90" s="5">
        <f>COUNTIF(Data!CH:CH, "*Insecurity_in_place_of_origin*")</f>
        <v>0</v>
      </c>
      <c r="D90" s="48" t="e">
        <f>C90/C95</f>
        <v>#DIV/0!</v>
      </c>
    </row>
    <row r="91" spans="2:4" x14ac:dyDescent="0.25">
      <c r="B91" s="20" t="s">
        <v>1281</v>
      </c>
      <c r="C91" s="5">
        <f>COUNTIF(Data!CH:CH, "*Want_to_remain_permanently*")</f>
        <v>0</v>
      </c>
      <c r="D91" s="48" t="e">
        <f>C91/C95</f>
        <v>#DIV/0!</v>
      </c>
    </row>
    <row r="92" spans="2:4" x14ac:dyDescent="0.25">
      <c r="B92" s="20" t="s">
        <v>1282</v>
      </c>
      <c r="C92" s="5">
        <f>COUNTIF(Data!CH:CH, "*To_continue_to_receive_hum*")</f>
        <v>0</v>
      </c>
      <c r="D92" s="48" t="e">
        <f>C92/C95</f>
        <v>#DIV/0!</v>
      </c>
    </row>
    <row r="93" spans="2:4" x14ac:dyDescent="0.25">
      <c r="B93" s="20" t="s">
        <v>1283</v>
      </c>
      <c r="C93" s="5">
        <f>COUNTIF(Data!CH:CH, "*Family_member_has_a_job*")</f>
        <v>0</v>
      </c>
      <c r="D93" s="48" t="e">
        <f>C93/C95</f>
        <v>#DIV/0!</v>
      </c>
    </row>
    <row r="94" spans="2:4" x14ac:dyDescent="0.25">
      <c r="B94" s="21" t="s">
        <v>770</v>
      </c>
      <c r="C94" s="14">
        <f>COUNTIF(Data!CH:CH, "*Other*")</f>
        <v>0</v>
      </c>
      <c r="D94" s="49" t="e">
        <f>C94/C95</f>
        <v>#DIV/0!</v>
      </c>
    </row>
    <row r="95" spans="2:4" x14ac:dyDescent="0.25">
      <c r="B95" s="20" t="s">
        <v>812</v>
      </c>
      <c r="C95" s="65">
        <f>SUM(C88:C94)</f>
        <v>0</v>
      </c>
      <c r="D95" s="114" t="e">
        <f>SUM(D88:D94)</f>
        <v>#DIV/0!</v>
      </c>
    </row>
    <row r="96" spans="2:4" x14ac:dyDescent="0.25">
      <c r="B96" s="67" t="s">
        <v>813</v>
      </c>
      <c r="C96" s="8">
        <f>COUNTIF(Data!CH5:CH9827,"*e*")</f>
        <v>0</v>
      </c>
      <c r="D96" s="109"/>
    </row>
    <row r="97" spans="2:9" x14ac:dyDescent="0.25">
      <c r="B97" s="110"/>
      <c r="C97" s="5"/>
      <c r="D97" s="95"/>
    </row>
    <row r="98" spans="2:9" x14ac:dyDescent="0.25">
      <c r="B98" s="110" t="s">
        <v>50</v>
      </c>
      <c r="C98" s="5"/>
    </row>
    <row r="99" spans="2:9" ht="15.75" customHeight="1" x14ac:dyDescent="0.25">
      <c r="B99" s="1" t="s">
        <v>1284</v>
      </c>
      <c r="C99" s="2" t="s">
        <v>755</v>
      </c>
      <c r="D99" s="3" t="s">
        <v>748</v>
      </c>
    </row>
    <row r="100" spans="2:9" x14ac:dyDescent="0.25">
      <c r="B100" s="20" t="s">
        <v>1285</v>
      </c>
      <c r="C100" s="5">
        <f>COUNTIF(Data!CJ:CJ,"no_weak_land_tenure_lease")</f>
        <v>0</v>
      </c>
      <c r="D100" s="6" t="e">
        <f>C100/C105</f>
        <v>#DIV/0!</v>
      </c>
    </row>
    <row r="101" spans="2:9" x14ac:dyDescent="0.25">
      <c r="B101" s="20" t="s">
        <v>1286</v>
      </c>
      <c r="C101" s="5">
        <f>COUNTIF(Data!CJ:CJ,"bad_relationship_host")</f>
        <v>0</v>
      </c>
      <c r="D101" s="6" t="e">
        <f>C101/C105</f>
        <v>#DIV/0!</v>
      </c>
      <c r="H101" s="107"/>
      <c r="I101" s="107"/>
    </row>
    <row r="102" spans="2:9" x14ac:dyDescent="0.25">
      <c r="B102" s="20" t="s">
        <v>1287</v>
      </c>
      <c r="C102" s="5">
        <f>COUNTIF(Data!CJ:CJ,"no_basic_servcies")</f>
        <v>0</v>
      </c>
      <c r="D102" s="6" t="e">
        <f>C102/C105</f>
        <v>#DIV/0!</v>
      </c>
    </row>
    <row r="103" spans="2:9" x14ac:dyDescent="0.25">
      <c r="B103" s="20" t="s">
        <v>1288</v>
      </c>
      <c r="C103" s="5">
        <f>COUNTIF(Data!CJ:CJ,"no_job_oppuritunities")</f>
        <v>0</v>
      </c>
      <c r="D103" s="6" t="e">
        <f>C103/C105</f>
        <v>#DIV/0!</v>
      </c>
    </row>
    <row r="104" spans="2:9" x14ac:dyDescent="0.25">
      <c r="B104" s="21" t="s">
        <v>770</v>
      </c>
      <c r="C104" s="14">
        <f>COUNTIF(Data!CJ:CJ,"Other")</f>
        <v>0</v>
      </c>
      <c r="D104" s="15" t="e">
        <f>C104/C105</f>
        <v>#DIV/0!</v>
      </c>
    </row>
    <row r="105" spans="2:9" x14ac:dyDescent="0.25">
      <c r="B105" s="98" t="s">
        <v>751</v>
      </c>
      <c r="C105" s="14">
        <f>SUM(C100:C104)</f>
        <v>0</v>
      </c>
      <c r="D105" s="15" t="e">
        <f>SUM(D100:D104)</f>
        <v>#DIV/0!</v>
      </c>
    </row>
    <row r="106" spans="2:9" x14ac:dyDescent="0.25">
      <c r="B106" s="110"/>
      <c r="C106" s="5"/>
    </row>
    <row r="107" spans="2:9" x14ac:dyDescent="0.25">
      <c r="B107" s="110" t="s">
        <v>51</v>
      </c>
      <c r="C107" s="5"/>
    </row>
    <row r="108" spans="2:9" x14ac:dyDescent="0.25">
      <c r="B108" s="1" t="s">
        <v>1289</v>
      </c>
      <c r="C108" s="2" t="s">
        <v>747</v>
      </c>
      <c r="D108" s="3" t="s">
        <v>748</v>
      </c>
    </row>
    <row r="109" spans="2:9" x14ac:dyDescent="0.25">
      <c r="B109" s="20" t="s">
        <v>1290</v>
      </c>
      <c r="C109" s="5">
        <f>COUNTIF(Data!CL:CL,"More_than_1yr")</f>
        <v>0</v>
      </c>
      <c r="D109" s="6" t="e">
        <f>C109/C111</f>
        <v>#DIV/0!</v>
      </c>
    </row>
    <row r="110" spans="2:9" x14ac:dyDescent="0.25">
      <c r="B110" s="21" t="s">
        <v>1291</v>
      </c>
      <c r="C110" s="14">
        <f>COUNTIF(Data!CL:CL,"Less_than_1yr")</f>
        <v>0</v>
      </c>
      <c r="D110" s="15" t="e">
        <f>C110/C111</f>
        <v>#DIV/0!</v>
      </c>
    </row>
    <row r="111" spans="2:9" x14ac:dyDescent="0.25">
      <c r="B111" s="98" t="s">
        <v>751</v>
      </c>
      <c r="C111" s="14">
        <f>SUM(C109:C110)</f>
        <v>0</v>
      </c>
      <c r="D111" s="15" t="e">
        <f>SUM(D109:D110)</f>
        <v>#DIV/0!</v>
      </c>
    </row>
    <row r="112" spans="2:9" x14ac:dyDescent="0.25">
      <c r="B112" s="110"/>
      <c r="C112" s="5"/>
    </row>
    <row r="113" spans="2:4" x14ac:dyDescent="0.25">
      <c r="B113" s="110" t="s">
        <v>52</v>
      </c>
      <c r="C113" s="5"/>
    </row>
    <row r="114" spans="2:4" x14ac:dyDescent="0.25">
      <c r="B114" s="1" t="s">
        <v>1292</v>
      </c>
      <c r="C114" s="2" t="s">
        <v>1276</v>
      </c>
      <c r="D114" s="3" t="s">
        <v>748</v>
      </c>
    </row>
    <row r="115" spans="2:4" x14ac:dyDescent="0.25">
      <c r="B115" s="20" t="s">
        <v>1293</v>
      </c>
      <c r="C115" s="5">
        <f>COUNTIF(Data!CM:CM, "No_relation_with_place_of")</f>
        <v>0</v>
      </c>
      <c r="D115" s="6" t="e">
        <f>C115/C122</f>
        <v>#DIV/0!</v>
      </c>
    </row>
    <row r="116" spans="2:4" x14ac:dyDescent="0.25">
      <c r="B116" s="20" t="s">
        <v>1279</v>
      </c>
      <c r="C116" s="5">
        <f>COUNTIF(Data!CM:CM, "No_information_about_place")</f>
        <v>0</v>
      </c>
      <c r="D116" s="6" t="e">
        <f>C116/C122</f>
        <v>#DIV/0!</v>
      </c>
    </row>
    <row r="117" spans="2:4" x14ac:dyDescent="0.25">
      <c r="B117" s="20" t="s">
        <v>1280</v>
      </c>
      <c r="C117" s="5">
        <f>COUNTIF(Data!CM:CM, "Insecurity_in_place_of_origin")</f>
        <v>0</v>
      </c>
      <c r="D117" s="6" t="e">
        <f>C117/C122</f>
        <v>#DIV/0!</v>
      </c>
    </row>
    <row r="118" spans="2:4" x14ac:dyDescent="0.25">
      <c r="B118" s="20" t="s">
        <v>1281</v>
      </c>
      <c r="C118" s="5">
        <f>COUNTIF(Data!CM:CM, "Want_to_remain_permanently")</f>
        <v>0</v>
      </c>
      <c r="D118" s="6" t="e">
        <f>C118/C122</f>
        <v>#DIV/0!</v>
      </c>
    </row>
    <row r="119" spans="2:4" x14ac:dyDescent="0.25">
      <c r="B119" s="20" t="s">
        <v>1282</v>
      </c>
      <c r="C119" s="5">
        <f>COUNTIF(Data!CM:CM, "To_continue_to_receive_hum")</f>
        <v>0</v>
      </c>
      <c r="D119" s="6" t="e">
        <f>C119/C122</f>
        <v>#DIV/0!</v>
      </c>
    </row>
    <row r="120" spans="2:4" x14ac:dyDescent="0.25">
      <c r="B120" s="20" t="s">
        <v>1283</v>
      </c>
      <c r="C120" s="5">
        <f>COUNTIF(Data!CM:CM, "Family_member_has_a_job")</f>
        <v>0</v>
      </c>
      <c r="D120" s="6" t="e">
        <f>C120/C122</f>
        <v>#DIV/0!</v>
      </c>
    </row>
    <row r="121" spans="2:4" x14ac:dyDescent="0.25">
      <c r="B121" s="20" t="s">
        <v>770</v>
      </c>
      <c r="C121" s="5">
        <f>COUNTIF(Data!CM:CM, "Other")</f>
        <v>0</v>
      </c>
      <c r="D121" s="6" t="e">
        <f>C121/C122</f>
        <v>#DIV/0!</v>
      </c>
    </row>
    <row r="122" spans="2:4" x14ac:dyDescent="0.25">
      <c r="B122" s="113" t="s">
        <v>751</v>
      </c>
      <c r="C122" s="8">
        <f>SUM(C115:C121)</f>
        <v>0</v>
      </c>
      <c r="D122" s="9" t="e">
        <f>SUM(D115:D121)</f>
        <v>#DIV/0!</v>
      </c>
    </row>
    <row r="123" spans="2:4" x14ac:dyDescent="0.25">
      <c r="B123" s="110"/>
      <c r="C123" s="5"/>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6"/>
  <sheetViews>
    <sheetView workbookViewId="0"/>
  </sheetViews>
  <sheetFormatPr defaultRowHeight="15" x14ac:dyDescent="0.25"/>
  <cols>
    <col min="2" max="2" width="23.7109375" customWidth="1"/>
    <col min="3" max="3" width="12.28515625" customWidth="1"/>
    <col min="4" max="4" width="13.140625" customWidth="1"/>
  </cols>
  <sheetData>
    <row r="1" spans="1:9" s="128" customFormat="1" ht="16.5" customHeight="1" x14ac:dyDescent="0.25">
      <c r="A1" s="127">
        <v>5</v>
      </c>
      <c r="B1" s="128" t="s">
        <v>1304</v>
      </c>
    </row>
    <row r="3" spans="1:9" x14ac:dyDescent="0.25">
      <c r="B3" s="110" t="s">
        <v>50</v>
      </c>
      <c r="C3" s="5"/>
    </row>
    <row r="4" spans="1:9" ht="15.75" customHeight="1" x14ac:dyDescent="0.25">
      <c r="B4" s="1" t="s">
        <v>1284</v>
      </c>
      <c r="C4" s="2" t="s">
        <v>755</v>
      </c>
      <c r="D4" s="3" t="s">
        <v>748</v>
      </c>
    </row>
    <row r="5" spans="1:9" x14ac:dyDescent="0.25">
      <c r="B5" s="20" t="s">
        <v>1285</v>
      </c>
      <c r="C5" s="5">
        <f>COUNTIF(Data!CJ:CJ,"no_weak_land_tenure_lease")</f>
        <v>0</v>
      </c>
      <c r="D5" s="6" t="e">
        <f>C5/C10</f>
        <v>#DIV/0!</v>
      </c>
    </row>
    <row r="6" spans="1:9" x14ac:dyDescent="0.25">
      <c r="B6" s="20" t="s">
        <v>1286</v>
      </c>
      <c r="C6" s="5">
        <f>COUNTIF(Data!CJ:CJ,"bad_relationship_host")</f>
        <v>0</v>
      </c>
      <c r="D6" s="6" t="e">
        <f>C6/C10</f>
        <v>#DIV/0!</v>
      </c>
      <c r="H6" s="107"/>
      <c r="I6" s="107"/>
    </row>
    <row r="7" spans="1:9" x14ac:dyDescent="0.25">
      <c r="B7" s="20" t="s">
        <v>1287</v>
      </c>
      <c r="C7" s="5">
        <f>COUNTIF(Data!CJ:CJ,"no_basic_servcies")</f>
        <v>0</v>
      </c>
      <c r="D7" s="6" t="e">
        <f>C7/C10</f>
        <v>#DIV/0!</v>
      </c>
    </row>
    <row r="8" spans="1:9" x14ac:dyDescent="0.25">
      <c r="B8" s="20" t="s">
        <v>1288</v>
      </c>
      <c r="C8" s="5">
        <f>COUNTIF(Data!CJ:CJ,"no_job_oppuritunities")</f>
        <v>0</v>
      </c>
      <c r="D8" s="6" t="e">
        <f>C8/C10</f>
        <v>#DIV/0!</v>
      </c>
    </row>
    <row r="9" spans="1:9" x14ac:dyDescent="0.25">
      <c r="B9" s="21" t="s">
        <v>770</v>
      </c>
      <c r="C9" s="14">
        <f>COUNTIF(Data!CJ:CJ,"Other")</f>
        <v>0</v>
      </c>
      <c r="D9" s="15" t="e">
        <f>C9/C10</f>
        <v>#DIV/0!</v>
      </c>
    </row>
    <row r="10" spans="1:9" x14ac:dyDescent="0.25">
      <c r="B10" s="98" t="s">
        <v>751</v>
      </c>
      <c r="C10" s="14">
        <f>SUM(C5:C9)</f>
        <v>0</v>
      </c>
      <c r="D10" s="15" t="e">
        <f>SUM(D5:D9)</f>
        <v>#DIV/0!</v>
      </c>
    </row>
    <row r="11" spans="1:9" x14ac:dyDescent="0.25">
      <c r="B11" s="110"/>
      <c r="C11" s="5"/>
    </row>
    <row r="12" spans="1:9" x14ac:dyDescent="0.25">
      <c r="B12" s="110" t="s">
        <v>51</v>
      </c>
      <c r="C12" s="5"/>
    </row>
    <row r="13" spans="1:9" x14ac:dyDescent="0.25">
      <c r="B13" s="1" t="s">
        <v>1289</v>
      </c>
      <c r="C13" s="2" t="s">
        <v>747</v>
      </c>
      <c r="D13" s="3" t="s">
        <v>748</v>
      </c>
    </row>
    <row r="14" spans="1:9" x14ac:dyDescent="0.25">
      <c r="B14" s="20" t="s">
        <v>1290</v>
      </c>
      <c r="C14" s="5">
        <f>COUNTIF(Data!CL:CL,"More_than_1yr")</f>
        <v>0</v>
      </c>
      <c r="D14" s="6" t="e">
        <f>C14/C16</f>
        <v>#DIV/0!</v>
      </c>
    </row>
    <row r="15" spans="1:9" x14ac:dyDescent="0.25">
      <c r="B15" s="21" t="s">
        <v>1291</v>
      </c>
      <c r="C15" s="14">
        <f>COUNTIF(Data!CL:CL,"Less_than_1yr")</f>
        <v>0</v>
      </c>
      <c r="D15" s="15" t="e">
        <f>C15/C16</f>
        <v>#DIV/0!</v>
      </c>
    </row>
    <row r="16" spans="1:9" x14ac:dyDescent="0.25">
      <c r="B16" s="98" t="s">
        <v>751</v>
      </c>
      <c r="C16" s="14">
        <f>SUM(C14:C15)</f>
        <v>0</v>
      </c>
      <c r="D16" s="15" t="e">
        <f>SUM(D14:D15)</f>
        <v>#DIV/0!</v>
      </c>
    </row>
    <row r="17" spans="2:4" x14ac:dyDescent="0.25">
      <c r="B17" s="110"/>
      <c r="C17" s="5"/>
    </row>
    <row r="19" spans="2:4" x14ac:dyDescent="0.25">
      <c r="B19" t="s">
        <v>149</v>
      </c>
    </row>
    <row r="20" spans="2:4" x14ac:dyDescent="0.25">
      <c r="B20" s="45" t="s">
        <v>987</v>
      </c>
      <c r="C20" s="58" t="s">
        <v>755</v>
      </c>
      <c r="D20" s="61" t="s">
        <v>748</v>
      </c>
    </row>
    <row r="21" spans="2:4" x14ac:dyDescent="0.25">
      <c r="B21" s="4" t="s">
        <v>986</v>
      </c>
      <c r="C21" s="5">
        <f>COUNTIF(Data!HX:HX,"Emergency_Shelter")</f>
        <v>0</v>
      </c>
      <c r="D21" s="6" t="e">
        <f>C21/C31</f>
        <v>#DIV/0!</v>
      </c>
    </row>
    <row r="22" spans="2:4" x14ac:dyDescent="0.25">
      <c r="B22" s="4" t="s">
        <v>871</v>
      </c>
      <c r="C22" s="5">
        <f>COUNTIF(Data!HX:HX,"Tent")</f>
        <v>0</v>
      </c>
      <c r="D22" s="6" t="e">
        <f>C22/C31</f>
        <v>#DIV/0!</v>
      </c>
    </row>
    <row r="23" spans="2:4" x14ac:dyDescent="0.25">
      <c r="B23" s="4" t="s">
        <v>980</v>
      </c>
      <c r="C23" s="5">
        <f>COUNTIF(Data!HX:HX,"Transitional_Shelter")</f>
        <v>0</v>
      </c>
      <c r="D23" s="6" t="e">
        <f>C23/C31</f>
        <v>#DIV/0!</v>
      </c>
    </row>
    <row r="24" spans="2:4" x14ac:dyDescent="0.25">
      <c r="B24" s="4" t="s">
        <v>981</v>
      </c>
      <c r="C24" s="5">
        <f>COUNTIF(Data!HX:HX,"Building_Materials")</f>
        <v>0</v>
      </c>
      <c r="D24" s="6" t="e">
        <f>C24/C31</f>
        <v>#DIV/0!</v>
      </c>
    </row>
    <row r="25" spans="2:4" x14ac:dyDescent="0.25">
      <c r="B25" s="4" t="s">
        <v>982</v>
      </c>
      <c r="C25" s="5">
        <f>COUNTIF(Data!HX:HX,"Technical_Support_build_your")</f>
        <v>0</v>
      </c>
      <c r="D25" s="6" t="e">
        <f>C25/C31</f>
        <v>#DIV/0!</v>
      </c>
    </row>
    <row r="26" spans="2:4" x14ac:dyDescent="0.25">
      <c r="B26" s="4" t="s">
        <v>979</v>
      </c>
      <c r="C26" s="5">
        <f>COUNTIF(Data!HX:HX,"Protection")</f>
        <v>0</v>
      </c>
      <c r="D26" s="6" t="e">
        <f>C26/C31</f>
        <v>#DIV/0!</v>
      </c>
    </row>
    <row r="27" spans="2:4" x14ac:dyDescent="0.25">
      <c r="B27" s="4" t="s">
        <v>983</v>
      </c>
      <c r="C27" s="5">
        <f>COUNTIF(Data!HX:HX,"Financial_Support")</f>
        <v>0</v>
      </c>
      <c r="D27" s="6" t="e">
        <f>C27/C31</f>
        <v>#DIV/0!</v>
      </c>
    </row>
    <row r="28" spans="2:4" x14ac:dyDescent="0.25">
      <c r="B28" s="4" t="s">
        <v>984</v>
      </c>
      <c r="C28" s="5">
        <f>COUNTIF(Data!HX:HX,"Tools_for_construction")</f>
        <v>0</v>
      </c>
      <c r="D28" s="6" t="e">
        <f>C28/C31</f>
        <v>#DIV/0!</v>
      </c>
    </row>
    <row r="29" spans="2:4" x14ac:dyDescent="0.25">
      <c r="B29" s="4" t="s">
        <v>985</v>
      </c>
      <c r="C29" s="5">
        <f>COUNTIF(Data!HX:HX,"No_further_sup_required]")</f>
        <v>0</v>
      </c>
      <c r="D29" s="6" t="e">
        <f>C29/C31</f>
        <v>#DIV/0!</v>
      </c>
    </row>
    <row r="30" spans="2:4" x14ac:dyDescent="0.25">
      <c r="B30" s="13" t="s">
        <v>770</v>
      </c>
      <c r="C30" s="14">
        <f>COUNTIF(Data!HX:HX,"Other")</f>
        <v>0</v>
      </c>
      <c r="D30" s="15" t="e">
        <f>C30/C31</f>
        <v>#DIV/0!</v>
      </c>
    </row>
    <row r="31" spans="2:4" x14ac:dyDescent="0.25">
      <c r="B31" s="13" t="s">
        <v>751</v>
      </c>
      <c r="C31" s="14">
        <f>SUM(C21:C30)</f>
        <v>0</v>
      </c>
      <c r="D31" s="15" t="e">
        <f>SUM(D21:D30)</f>
        <v>#DIV/0!</v>
      </c>
    </row>
    <row r="33" spans="2:4" x14ac:dyDescent="0.25">
      <c r="B33" t="s">
        <v>151</v>
      </c>
    </row>
    <row r="34" spans="2:4" x14ac:dyDescent="0.25">
      <c r="B34" s="45" t="s">
        <v>989</v>
      </c>
      <c r="C34" s="58" t="s">
        <v>755</v>
      </c>
      <c r="D34" s="61" t="s">
        <v>748</v>
      </c>
    </row>
    <row r="35" spans="2:4" x14ac:dyDescent="0.25">
      <c r="B35" s="20" t="s">
        <v>749</v>
      </c>
      <c r="C35" s="5">
        <f>COUNTIF(Data!HZ:HZ,"Yes")</f>
        <v>0</v>
      </c>
      <c r="D35" s="6" t="e">
        <f>C35/C37</f>
        <v>#DIV/0!</v>
      </c>
    </row>
    <row r="36" spans="2:4" x14ac:dyDescent="0.25">
      <c r="B36" s="21" t="s">
        <v>750</v>
      </c>
      <c r="C36" s="14">
        <f>COUNTIF(Data!HZ:HZ,"No")</f>
        <v>0</v>
      </c>
      <c r="D36" s="15" t="e">
        <f>C36/C37</f>
        <v>#DIV/0!</v>
      </c>
    </row>
    <row r="37" spans="2:4" x14ac:dyDescent="0.25">
      <c r="B37" s="59" t="s">
        <v>751</v>
      </c>
      <c r="C37" s="14">
        <f>SUM(C35:C36)</f>
        <v>0</v>
      </c>
      <c r="D37" s="15" t="e">
        <f>SUM(D35:D36)</f>
        <v>#DIV/0!</v>
      </c>
    </row>
    <row r="39" spans="2:4" x14ac:dyDescent="0.25">
      <c r="B39" t="s">
        <v>152</v>
      </c>
    </row>
    <row r="40" spans="2:4" x14ac:dyDescent="0.25">
      <c r="B40" s="10" t="s">
        <v>988</v>
      </c>
      <c r="C40" s="11" t="s">
        <v>755</v>
      </c>
      <c r="D40" s="12" t="s">
        <v>748</v>
      </c>
    </row>
    <row r="41" spans="2:4" x14ac:dyDescent="0.25">
      <c r="B41" s="20" t="s">
        <v>885</v>
      </c>
      <c r="C41" s="65">
        <f>COUNTIF(Data!IB:IB,"Not_useful_at_all")</f>
        <v>0</v>
      </c>
      <c r="D41" s="6" t="e">
        <f>C41/C46</f>
        <v>#DIV/0!</v>
      </c>
    </row>
    <row r="42" spans="2:4" x14ac:dyDescent="0.25">
      <c r="B42" s="20" t="s">
        <v>886</v>
      </c>
      <c r="C42" s="65">
        <f>COUNTIF(Data!IB:IB,"Not_so_useful")</f>
        <v>0</v>
      </c>
      <c r="D42" s="6" t="e">
        <f>C42/C46</f>
        <v>#DIV/0!</v>
      </c>
    </row>
    <row r="43" spans="2:4" x14ac:dyDescent="0.25">
      <c r="B43" s="20" t="s">
        <v>756</v>
      </c>
      <c r="C43" s="65">
        <f>COUNTIF(Data!IB:IB,"Average")</f>
        <v>0</v>
      </c>
      <c r="D43" s="6" t="e">
        <f>C43/C46</f>
        <v>#DIV/0!</v>
      </c>
    </row>
    <row r="44" spans="2:4" x14ac:dyDescent="0.25">
      <c r="B44" s="20" t="s">
        <v>887</v>
      </c>
      <c r="C44" s="65">
        <f>COUNTIF(Data!IB:IB,"Useful")</f>
        <v>0</v>
      </c>
      <c r="D44" s="6" t="e">
        <f>C44/C46</f>
        <v>#DIV/0!</v>
      </c>
    </row>
    <row r="45" spans="2:4" x14ac:dyDescent="0.25">
      <c r="B45" s="20" t="s">
        <v>888</v>
      </c>
      <c r="C45" s="65">
        <f>COUNTIF(Data!IB:IB,"Very_useful")</f>
        <v>0</v>
      </c>
      <c r="D45" s="6" t="e">
        <f>C45/C46</f>
        <v>#DIV/0!</v>
      </c>
    </row>
    <row r="46" spans="2:4" x14ac:dyDescent="0.25">
      <c r="B46" s="67" t="s">
        <v>751</v>
      </c>
      <c r="C46" s="8">
        <f>SUM(C41:C45)</f>
        <v>0</v>
      </c>
      <c r="D46" s="9" t="e">
        <f>SUM(D41:D45)</f>
        <v>#DIV/0!</v>
      </c>
    </row>
    <row r="48" spans="2:4" x14ac:dyDescent="0.25">
      <c r="B48" t="s">
        <v>153</v>
      </c>
    </row>
    <row r="49" spans="2:5" x14ac:dyDescent="0.25">
      <c r="B49" s="45" t="s">
        <v>990</v>
      </c>
      <c r="C49" s="58" t="s">
        <v>755</v>
      </c>
      <c r="D49" s="61" t="s">
        <v>748</v>
      </c>
    </row>
    <row r="50" spans="2:5" x14ac:dyDescent="0.25">
      <c r="B50" s="20" t="s">
        <v>749</v>
      </c>
      <c r="C50" s="5">
        <f>COUNTIF(Data!IC:IC,"Yes")</f>
        <v>0</v>
      </c>
      <c r="D50" s="6" t="e">
        <f>C50/C52</f>
        <v>#DIV/0!</v>
      </c>
    </row>
    <row r="51" spans="2:5" x14ac:dyDescent="0.25">
      <c r="B51" s="21" t="s">
        <v>750</v>
      </c>
      <c r="C51" s="14">
        <f>COUNTIF(Data!IC:IC,"No")</f>
        <v>0</v>
      </c>
      <c r="D51" s="15" t="e">
        <f>C51/C52</f>
        <v>#DIV/0!</v>
      </c>
    </row>
    <row r="52" spans="2:5" x14ac:dyDescent="0.25">
      <c r="B52" s="59" t="s">
        <v>751</v>
      </c>
      <c r="C52" s="14">
        <f>SUM(C50:C51)</f>
        <v>0</v>
      </c>
      <c r="D52" s="15" t="e">
        <f>SUM(D50:D51)</f>
        <v>#DIV/0!</v>
      </c>
    </row>
    <row r="54" spans="2:5" x14ac:dyDescent="0.25">
      <c r="B54" t="s">
        <v>155</v>
      </c>
    </row>
    <row r="55" spans="2:5" x14ac:dyDescent="0.25">
      <c r="B55" s="45" t="s">
        <v>991</v>
      </c>
      <c r="C55" s="58" t="s">
        <v>755</v>
      </c>
      <c r="D55" s="61" t="s">
        <v>748</v>
      </c>
    </row>
    <row r="56" spans="2:5" x14ac:dyDescent="0.25">
      <c r="B56" s="20" t="s">
        <v>749</v>
      </c>
      <c r="C56" s="5">
        <f>COUNTIF(Data!IE:IE,"Yes")</f>
        <v>0</v>
      </c>
      <c r="D56" s="6" t="e">
        <f>C56/C58</f>
        <v>#DIV/0!</v>
      </c>
    </row>
    <row r="57" spans="2:5" x14ac:dyDescent="0.25">
      <c r="B57" s="21" t="s">
        <v>750</v>
      </c>
      <c r="C57" s="14">
        <f>COUNTIF(Data!IE:IE,"No")</f>
        <v>0</v>
      </c>
      <c r="D57" s="15" t="e">
        <f>C57/C58</f>
        <v>#DIV/0!</v>
      </c>
    </row>
    <row r="58" spans="2:5" x14ac:dyDescent="0.25">
      <c r="B58" s="59" t="s">
        <v>751</v>
      </c>
      <c r="C58" s="14">
        <f>SUM(C56:C57)</f>
        <v>0</v>
      </c>
      <c r="D58" s="15" t="e">
        <f>SUM(D56:D57)</f>
        <v>#DIV/0!</v>
      </c>
    </row>
    <row r="60" spans="2:5" x14ac:dyDescent="0.25">
      <c r="B60" t="s">
        <v>1306</v>
      </c>
    </row>
    <row r="61" spans="2:5" x14ac:dyDescent="0.25">
      <c r="B61" s="118"/>
      <c r="C61" s="129" t="s">
        <v>1012</v>
      </c>
      <c r="D61" s="130"/>
      <c r="E61" s="131"/>
    </row>
    <row r="62" spans="2:5" x14ac:dyDescent="0.25">
      <c r="B62" s="45" t="s">
        <v>1315</v>
      </c>
      <c r="C62" s="80">
        <v>1</v>
      </c>
      <c r="D62" s="80">
        <v>2</v>
      </c>
      <c r="E62" s="81">
        <v>3</v>
      </c>
    </row>
    <row r="63" spans="2:5" x14ac:dyDescent="0.25">
      <c r="B63" s="4" t="s">
        <v>173</v>
      </c>
      <c r="C63" s="27">
        <f>COUNTIF(Data!JD:JD,"1")</f>
        <v>0</v>
      </c>
      <c r="D63" s="5">
        <f>COUNTIF(Data!JD:JD,"2")</f>
        <v>0</v>
      </c>
      <c r="E63" s="73">
        <f>COUNTIF(Data!JD:JD,"3")</f>
        <v>0</v>
      </c>
    </row>
    <row r="64" spans="2:5" x14ac:dyDescent="0.25">
      <c r="B64" s="4" t="s">
        <v>1013</v>
      </c>
      <c r="C64" s="5">
        <f>COUNTIF(Data!JE:JE,"1")</f>
        <v>0</v>
      </c>
      <c r="D64" s="5">
        <f>COUNTIF(Data!JE:JE,"2")</f>
        <v>0</v>
      </c>
      <c r="E64" s="73">
        <f>COUNTIF(Data!JE:JE,"3")</f>
        <v>0</v>
      </c>
    </row>
    <row r="65" spans="2:5" x14ac:dyDescent="0.25">
      <c r="B65" s="4" t="s">
        <v>1014</v>
      </c>
      <c r="C65" s="5">
        <f>COUNTIF(Data!JF:JF,"1")</f>
        <v>0</v>
      </c>
      <c r="D65" s="5">
        <f>COUNTIF(Data!JF:JF,"2")</f>
        <v>0</v>
      </c>
      <c r="E65" s="73">
        <f>COUNTIF(Data!JF:JF,"3")</f>
        <v>0</v>
      </c>
    </row>
    <row r="66" spans="2:5" x14ac:dyDescent="0.25">
      <c r="B66" s="4" t="s">
        <v>176</v>
      </c>
      <c r="C66" s="5">
        <f>COUNTIF(Data!JG:JG,"1")</f>
        <v>0</v>
      </c>
      <c r="D66" s="5">
        <f>COUNTIF(Data!JG:JG,"2")</f>
        <v>0</v>
      </c>
      <c r="E66" s="73">
        <f>COUNTIF(Data!JG:JG,"3")</f>
        <v>0</v>
      </c>
    </row>
    <row r="67" spans="2:5" x14ac:dyDescent="0.25">
      <c r="B67" s="4" t="s">
        <v>1015</v>
      </c>
      <c r="C67" s="5">
        <f>COUNTIF(Data!JH:JH,"1")</f>
        <v>0</v>
      </c>
      <c r="D67" s="5">
        <f>COUNTIF(Data!JH:JH,"2")</f>
        <v>0</v>
      </c>
      <c r="E67" s="73">
        <f>COUNTIF(Data!JH:JH,"3")</f>
        <v>0</v>
      </c>
    </row>
    <row r="68" spans="2:5" x14ac:dyDescent="0.25">
      <c r="B68" s="4" t="s">
        <v>178</v>
      </c>
      <c r="C68" s="5">
        <f>COUNTIF(Data!JI:JI,"1")</f>
        <v>0</v>
      </c>
      <c r="D68" s="5">
        <f>COUNTIF(Data!JI:JI,"2")</f>
        <v>0</v>
      </c>
      <c r="E68" s="73">
        <f>COUNTIF(Data!JI:JI,"3")</f>
        <v>0</v>
      </c>
    </row>
    <row r="69" spans="2:5" x14ac:dyDescent="0.25">
      <c r="B69" s="4" t="s">
        <v>179</v>
      </c>
      <c r="C69" s="5">
        <f>COUNTIF(Data!JJ:JJ,"1")</f>
        <v>0</v>
      </c>
      <c r="D69" s="5">
        <f>COUNTIF(Data!JJ:JJ,"2")</f>
        <v>0</v>
      </c>
      <c r="E69" s="73">
        <f>COUNTIF(Data!JJ:JJ,"3")</f>
        <v>0</v>
      </c>
    </row>
    <row r="70" spans="2:5" x14ac:dyDescent="0.25">
      <c r="B70" s="13" t="s">
        <v>180</v>
      </c>
      <c r="C70" s="14">
        <f>COUNTIF(Data!JK:JK,"1")</f>
        <v>0</v>
      </c>
      <c r="D70" s="14">
        <f>COUNTIF(Data!JK:JK,"2")</f>
        <v>0</v>
      </c>
      <c r="E70" s="25">
        <f>COUNTIF(Data!JK:JK,"3")</f>
        <v>0</v>
      </c>
    </row>
    <row r="71" spans="2:5" x14ac:dyDescent="0.25">
      <c r="B71" s="13" t="s">
        <v>751</v>
      </c>
      <c r="C71" s="14">
        <f>SUM(C63:C70)</f>
        <v>0</v>
      </c>
      <c r="D71" s="14">
        <f>SUM(D63:D70)</f>
        <v>0</v>
      </c>
      <c r="E71" s="25">
        <f>SUM(E63:E70)</f>
        <v>0</v>
      </c>
    </row>
    <row r="74" spans="2:5" x14ac:dyDescent="0.25">
      <c r="B74" t="s">
        <v>167</v>
      </c>
    </row>
    <row r="75" spans="2:5" x14ac:dyDescent="0.25">
      <c r="B75" s="10" t="s">
        <v>997</v>
      </c>
      <c r="C75" s="11" t="s">
        <v>755</v>
      </c>
      <c r="D75" s="12" t="s">
        <v>748</v>
      </c>
    </row>
    <row r="76" spans="2:5" x14ac:dyDescent="0.25">
      <c r="B76" s="4" t="s">
        <v>992</v>
      </c>
      <c r="C76" s="5">
        <f>COUNTIF(Data!IW:IW,"buul")</f>
        <v>0</v>
      </c>
      <c r="D76" s="6" t="e">
        <f>C76/C82</f>
        <v>#DIV/0!</v>
      </c>
    </row>
    <row r="77" spans="2:5" x14ac:dyDescent="0.25">
      <c r="B77" s="4" t="s">
        <v>993</v>
      </c>
      <c r="C77" s="5">
        <f>COUNTIF(Data!IW:IW,"traditional_somalia_hut")</f>
        <v>0</v>
      </c>
      <c r="D77" s="6" t="e">
        <f>C77/C82</f>
        <v>#DIV/0!</v>
      </c>
    </row>
    <row r="78" spans="2:5" x14ac:dyDescent="0.25">
      <c r="B78" s="4" t="s">
        <v>994</v>
      </c>
      <c r="C78" s="5">
        <f>COUNTIF(Data!IW:IW,"iron_sheet_house")</f>
        <v>0</v>
      </c>
      <c r="D78" s="6" t="e">
        <f>C78/C82</f>
        <v>#DIV/0!</v>
      </c>
    </row>
    <row r="79" spans="2:5" x14ac:dyDescent="0.25">
      <c r="B79" s="4" t="s">
        <v>995</v>
      </c>
      <c r="C79" s="5">
        <f>COUNTIF(Data!IW:IW,"mud_hut")</f>
        <v>0</v>
      </c>
      <c r="D79" s="6" t="e">
        <f>C79/C82</f>
        <v>#DIV/0!</v>
      </c>
    </row>
    <row r="80" spans="2:5" x14ac:dyDescent="0.25">
      <c r="B80" s="4" t="s">
        <v>996</v>
      </c>
      <c r="C80" s="5">
        <f>COUNTIF(Data!IW:IW,"stone_house")</f>
        <v>0</v>
      </c>
      <c r="D80" s="6" t="e">
        <f>C80/C82</f>
        <v>#DIV/0!</v>
      </c>
    </row>
    <row r="81" spans="2:4" x14ac:dyDescent="0.25">
      <c r="B81" s="13" t="s">
        <v>770</v>
      </c>
      <c r="C81" s="14">
        <f>COUNTIF(Data!IW:IW,"Other")</f>
        <v>0</v>
      </c>
      <c r="D81" s="15" t="e">
        <f>C81/C82</f>
        <v>#DIV/0!</v>
      </c>
    </row>
    <row r="82" spans="2:4" x14ac:dyDescent="0.25">
      <c r="B82" s="13" t="s">
        <v>751</v>
      </c>
      <c r="C82" s="14">
        <f>SUM(C76:C81)</f>
        <v>0</v>
      </c>
      <c r="D82" s="15" t="e">
        <f>SUM(D76:D81)</f>
        <v>#DIV/0!</v>
      </c>
    </row>
    <row r="84" spans="2:4" x14ac:dyDescent="0.25">
      <c r="B84" t="s">
        <v>169</v>
      </c>
    </row>
    <row r="85" spans="2:4" x14ac:dyDescent="0.25">
      <c r="B85" s="45" t="s">
        <v>998</v>
      </c>
      <c r="C85" s="58" t="s">
        <v>755</v>
      </c>
      <c r="D85" s="61" t="s">
        <v>748</v>
      </c>
    </row>
    <row r="86" spans="2:4" x14ac:dyDescent="0.25">
      <c r="B86" s="20" t="s">
        <v>749</v>
      </c>
      <c r="C86" s="5">
        <f>COUNTIF(Data!IY:IY,"Yes")</f>
        <v>0</v>
      </c>
      <c r="D86" s="6" t="e">
        <f>C86/C88</f>
        <v>#DIV/0!</v>
      </c>
    </row>
    <row r="87" spans="2:4" x14ac:dyDescent="0.25">
      <c r="B87" s="21" t="s">
        <v>750</v>
      </c>
      <c r="C87" s="14">
        <f>COUNTIF(Data!IY:IY,"No")</f>
        <v>0</v>
      </c>
      <c r="D87" s="15" t="e">
        <f>C87/C88</f>
        <v>#DIV/0!</v>
      </c>
    </row>
    <row r="88" spans="2:4" x14ac:dyDescent="0.25">
      <c r="B88" s="59" t="s">
        <v>751</v>
      </c>
      <c r="C88" s="14">
        <f>SUM(C86:C87)</f>
        <v>0</v>
      </c>
      <c r="D88" s="15" t="e">
        <f>SUM(D86:D87)</f>
        <v>#DIV/0!</v>
      </c>
    </row>
    <row r="90" spans="2:4" x14ac:dyDescent="0.25">
      <c r="B90" t="s">
        <v>170</v>
      </c>
    </row>
    <row r="91" spans="2:4" x14ac:dyDescent="0.25">
      <c r="B91" s="45" t="s">
        <v>999</v>
      </c>
      <c r="C91" s="58" t="s">
        <v>755</v>
      </c>
      <c r="D91" s="61" t="s">
        <v>748</v>
      </c>
    </row>
    <row r="92" spans="2:4" x14ac:dyDescent="0.25">
      <c r="B92" s="20" t="s">
        <v>749</v>
      </c>
      <c r="C92" s="5">
        <f>COUNTIF(Data!IZ:IZ,"Yes")</f>
        <v>0</v>
      </c>
      <c r="D92" s="6" t="e">
        <f>C92/C94</f>
        <v>#DIV/0!</v>
      </c>
    </row>
    <row r="93" spans="2:4" x14ac:dyDescent="0.25">
      <c r="B93" s="21" t="s">
        <v>750</v>
      </c>
      <c r="C93" s="14">
        <f>COUNTIF(Data!IZ:IZ,"No")</f>
        <v>0</v>
      </c>
      <c r="D93" s="15" t="e">
        <f>C93/C94</f>
        <v>#DIV/0!</v>
      </c>
    </row>
    <row r="94" spans="2:4" x14ac:dyDescent="0.25">
      <c r="B94" s="59" t="s">
        <v>751</v>
      </c>
      <c r="C94" s="14">
        <f>SUM(C92:C93)</f>
        <v>0</v>
      </c>
      <c r="D94" s="15" t="e">
        <f>SUM(D92:D93)</f>
        <v>#DIV/0!</v>
      </c>
    </row>
    <row r="96" spans="2:4" x14ac:dyDescent="0.25">
      <c r="B96" t="s">
        <v>171</v>
      </c>
    </row>
    <row r="97" spans="2:4" x14ac:dyDescent="0.25">
      <c r="B97" s="45" t="s">
        <v>1004</v>
      </c>
      <c r="C97" s="58" t="s">
        <v>755</v>
      </c>
      <c r="D97" s="61" t="s">
        <v>748</v>
      </c>
    </row>
    <row r="98" spans="2:4" x14ac:dyDescent="0.25">
      <c r="B98" s="4" t="s">
        <v>871</v>
      </c>
      <c r="C98" s="5">
        <f>COUNTIF(Data!JA:JA,"*Tent*")</f>
        <v>0</v>
      </c>
      <c r="D98" s="6" t="e">
        <f>C98/C106</f>
        <v>#DIV/0!</v>
      </c>
    </row>
    <row r="99" spans="2:4" x14ac:dyDescent="0.25">
      <c r="B99" s="4" t="s">
        <v>845</v>
      </c>
      <c r="C99" s="5">
        <f>COUNTIF(Data!JA:JA,"*Construction_material*")</f>
        <v>0</v>
      </c>
      <c r="D99" s="6" t="e">
        <f>C99/C106</f>
        <v>#DIV/0!</v>
      </c>
    </row>
    <row r="100" spans="2:4" x14ac:dyDescent="0.25">
      <c r="B100" s="4" t="s">
        <v>870</v>
      </c>
      <c r="C100" s="5">
        <f>COUNTIF(Data!JA:JA,"*Tools*")</f>
        <v>0</v>
      </c>
      <c r="D100" s="6" t="e">
        <f>C100/C106</f>
        <v>#DIV/0!</v>
      </c>
    </row>
    <row r="101" spans="2:4" x14ac:dyDescent="0.25">
      <c r="B101" s="4" t="s">
        <v>1000</v>
      </c>
      <c r="C101" s="5">
        <f>COUNTIF(Data!JA:JA,"*Shelter_repair_kit*")</f>
        <v>0</v>
      </c>
      <c r="D101" s="6" t="e">
        <f>C101/C106</f>
        <v>#DIV/0!</v>
      </c>
    </row>
    <row r="102" spans="2:4" x14ac:dyDescent="0.25">
      <c r="B102" s="4" t="s">
        <v>1001</v>
      </c>
      <c r="C102" s="5">
        <f>COUNTIF(Data!JA:JA,"*Technical_support*")</f>
        <v>0</v>
      </c>
      <c r="D102" s="6" t="e">
        <f>C102/C106</f>
        <v>#DIV/0!</v>
      </c>
    </row>
    <row r="103" spans="2:4" x14ac:dyDescent="0.25">
      <c r="B103" s="4" t="s">
        <v>1002</v>
      </c>
      <c r="C103" s="5">
        <f>COUNTIF(Data!JA:JA,"*New_shelter_constructed*")</f>
        <v>0</v>
      </c>
      <c r="D103" s="6" t="e">
        <f>C103/C106</f>
        <v>#DIV/0!</v>
      </c>
    </row>
    <row r="104" spans="2:4" x14ac:dyDescent="0.25">
      <c r="B104" s="4" t="s">
        <v>1003</v>
      </c>
      <c r="C104" s="5">
        <f>COUNTIF(Data!JA:JA,"*Lockable_door*")</f>
        <v>0</v>
      </c>
      <c r="D104" s="6" t="e">
        <f>C104/C106</f>
        <v>#DIV/0!</v>
      </c>
    </row>
    <row r="105" spans="2:4" x14ac:dyDescent="0.25">
      <c r="B105" s="13" t="s">
        <v>770</v>
      </c>
      <c r="C105" s="14">
        <f>COUNTIF(Data!JA:JA,"*Other*")</f>
        <v>0</v>
      </c>
      <c r="D105" s="15" t="e">
        <f>C105/C106</f>
        <v>#DIV/0!</v>
      </c>
    </row>
    <row r="106" spans="2:4" x14ac:dyDescent="0.25">
      <c r="B106" s="13" t="s">
        <v>751</v>
      </c>
      <c r="C106" s="14">
        <f>SUM(C98:C103)</f>
        <v>0</v>
      </c>
      <c r="D106" s="15" t="e">
        <f>SUM(D98:D103)</f>
        <v>#DIV/0!</v>
      </c>
    </row>
    <row r="108" spans="2:4" x14ac:dyDescent="0.25">
      <c r="B108" t="s">
        <v>172</v>
      </c>
    </row>
    <row r="109" spans="2:4" x14ac:dyDescent="0.25">
      <c r="B109" s="45" t="s">
        <v>1005</v>
      </c>
      <c r="C109" s="58" t="s">
        <v>755</v>
      </c>
      <c r="D109" s="61" t="s">
        <v>748</v>
      </c>
    </row>
    <row r="110" spans="2:4" x14ac:dyDescent="0.25">
      <c r="B110" s="4" t="s">
        <v>1006</v>
      </c>
      <c r="C110" s="27">
        <f>COUNTIF(Data!JC:JC,"Family_Friends_Community")</f>
        <v>0</v>
      </c>
      <c r="D110" s="6" t="e">
        <f>C110/C117</f>
        <v>#DIV/0!</v>
      </c>
    </row>
    <row r="111" spans="2:4" x14ac:dyDescent="0.25">
      <c r="B111" s="4" t="s">
        <v>1007</v>
      </c>
      <c r="C111" s="5">
        <f>COUNTIF(Data!JC:JC,"Local_Authorities")</f>
        <v>0</v>
      </c>
      <c r="D111" s="6" t="e">
        <f>C111/C117</f>
        <v>#DIV/0!</v>
      </c>
    </row>
    <row r="112" spans="2:4" x14ac:dyDescent="0.25">
      <c r="B112" s="4" t="s">
        <v>1008</v>
      </c>
      <c r="C112" s="5">
        <f>COUNTIF(Data!JC:JC,"UN_INGOs")</f>
        <v>0</v>
      </c>
      <c r="D112" s="6" t="e">
        <f>C112/C117</f>
        <v>#DIV/0!</v>
      </c>
    </row>
    <row r="113" spans="2:4" x14ac:dyDescent="0.25">
      <c r="B113" s="4" t="s">
        <v>1009</v>
      </c>
      <c r="C113" s="5">
        <f>COUNTIF(Data!JC:JC,"Local_NGO")</f>
        <v>0</v>
      </c>
      <c r="D113" s="6" t="e">
        <f>C113/C117</f>
        <v>#DIV/0!</v>
      </c>
    </row>
    <row r="114" spans="2:4" x14ac:dyDescent="0.25">
      <c r="B114" s="4" t="s">
        <v>1010</v>
      </c>
      <c r="C114" s="5">
        <f>COUNTIF(Data!JC:JC,"Red_Crescent")</f>
        <v>0</v>
      </c>
      <c r="D114" s="6" t="e">
        <f>C114/C117</f>
        <v>#DIV/0!</v>
      </c>
    </row>
    <row r="115" spans="2:4" x14ac:dyDescent="0.25">
      <c r="B115" s="4" t="s">
        <v>1011</v>
      </c>
      <c r="C115" s="5">
        <f>COUNTIF(Data!JC:JC,"Local_Charity_Org")</f>
        <v>0</v>
      </c>
      <c r="D115" s="6" t="e">
        <f>C115/C117</f>
        <v>#DIV/0!</v>
      </c>
    </row>
    <row r="116" spans="2:4" x14ac:dyDescent="0.25">
      <c r="B116" s="13" t="s">
        <v>770</v>
      </c>
      <c r="C116" s="14">
        <f>COUNTIF(Data!JC:JC,"Other")</f>
        <v>0</v>
      </c>
      <c r="D116" s="15" t="e">
        <f>C116/C117</f>
        <v>#DIV/0!</v>
      </c>
    </row>
    <row r="117" spans="2:4" x14ac:dyDescent="0.25">
      <c r="B117" s="13" t="s">
        <v>751</v>
      </c>
      <c r="C117" s="14">
        <f>SUM(C110:C115)</f>
        <v>0</v>
      </c>
      <c r="D117" s="15" t="e">
        <f>SUM(D110:D115)</f>
        <v>#DIV/0!</v>
      </c>
    </row>
    <row r="119" spans="2:4" x14ac:dyDescent="0.25">
      <c r="B119" t="s">
        <v>196</v>
      </c>
    </row>
    <row r="120" spans="2:4" x14ac:dyDescent="0.25">
      <c r="B120" s="1" t="s">
        <v>1075</v>
      </c>
      <c r="C120" s="2" t="s">
        <v>747</v>
      </c>
      <c r="D120" s="3" t="s">
        <v>748</v>
      </c>
    </row>
    <row r="121" spans="2:4" x14ac:dyDescent="0.25">
      <c r="B121" s="4" t="s">
        <v>960</v>
      </c>
      <c r="C121" s="5">
        <f>COUNTIF(Data!KD:KD,"*Plastic_Sheet*")</f>
        <v>0</v>
      </c>
      <c r="D121" s="6" t="e">
        <f>C121/C126</f>
        <v>#DIV/0!</v>
      </c>
    </row>
    <row r="122" spans="2:4" x14ac:dyDescent="0.25">
      <c r="B122" s="4" t="s">
        <v>964</v>
      </c>
      <c r="C122" s="5">
        <f>COUNTIF(Data!KD:KD,"*Iron_Sheet*")</f>
        <v>0</v>
      </c>
      <c r="D122" s="6" t="e">
        <f>C122/C126</f>
        <v>#DIV/0!</v>
      </c>
    </row>
    <row r="123" spans="2:4" x14ac:dyDescent="0.25">
      <c r="B123" s="4" t="s">
        <v>906</v>
      </c>
      <c r="C123" s="5">
        <f>COUNTIF(Data!KD:KD,"*Sticks*")</f>
        <v>0</v>
      </c>
      <c r="D123" s="6" t="e">
        <f>C123/C126</f>
        <v>#DIV/0!</v>
      </c>
    </row>
    <row r="124" spans="2:4" x14ac:dyDescent="0.25">
      <c r="B124" s="4" t="s">
        <v>871</v>
      </c>
      <c r="C124" s="5">
        <f>COUNTIF(Data!KD:KD,"*Tent*")</f>
        <v>0</v>
      </c>
      <c r="D124" s="6" t="e">
        <f>C124/C126</f>
        <v>#DIV/0!</v>
      </c>
    </row>
    <row r="125" spans="2:4" x14ac:dyDescent="0.25">
      <c r="B125" s="13" t="s">
        <v>770</v>
      </c>
      <c r="C125" s="14">
        <f>COUNTIF(Data!KD:KD,"*Other*")</f>
        <v>0</v>
      </c>
      <c r="D125" s="15" t="e">
        <f>C125/C126</f>
        <v>#DIV/0!</v>
      </c>
    </row>
    <row r="126" spans="2:4" x14ac:dyDescent="0.25">
      <c r="B126" s="13" t="s">
        <v>751</v>
      </c>
      <c r="C126" s="14">
        <f>SUM(C121:C125)</f>
        <v>0</v>
      </c>
      <c r="D126" s="15" t="e">
        <f>SUM(D121:D125)</f>
        <v>#DIV/0!</v>
      </c>
    </row>
  </sheetData>
  <mergeCells count="1">
    <mergeCell ref="C61:E6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workbookViewId="0"/>
  </sheetViews>
  <sheetFormatPr defaultRowHeight="15" x14ac:dyDescent="0.25"/>
  <cols>
    <col min="2" max="2" width="28.7109375" customWidth="1"/>
    <col min="3" max="3" width="11.140625" customWidth="1"/>
    <col min="4" max="4" width="14.85546875" customWidth="1"/>
  </cols>
  <sheetData>
    <row r="1" spans="1:6" s="128" customFormat="1" ht="16.5" customHeight="1" x14ac:dyDescent="0.25">
      <c r="A1" s="127">
        <v>6</v>
      </c>
      <c r="B1" s="128" t="s">
        <v>745</v>
      </c>
    </row>
    <row r="3" spans="1:6" x14ac:dyDescent="0.25">
      <c r="B3" t="s">
        <v>1058</v>
      </c>
    </row>
    <row r="4" spans="1:6" x14ac:dyDescent="0.25">
      <c r="C4" s="132" t="s">
        <v>1317</v>
      </c>
      <c r="D4" s="133"/>
      <c r="E4" s="134" t="s">
        <v>992</v>
      </c>
      <c r="F4" s="133"/>
    </row>
    <row r="5" spans="1:6" x14ac:dyDescent="0.25">
      <c r="B5" s="1" t="s">
        <v>959</v>
      </c>
      <c r="C5" s="2" t="s">
        <v>747</v>
      </c>
      <c r="D5" s="88" t="s">
        <v>1054</v>
      </c>
      <c r="E5" s="2" t="s">
        <v>747</v>
      </c>
      <c r="F5" s="3" t="s">
        <v>992</v>
      </c>
    </row>
    <row r="6" spans="1:6" x14ac:dyDescent="0.25">
      <c r="B6" s="4" t="s">
        <v>956</v>
      </c>
      <c r="C6" s="5">
        <f>COUNTIF(Data!PA:PA,"*Earth*")</f>
        <v>0</v>
      </c>
      <c r="D6" s="6" t="e">
        <f>C6/C11</f>
        <v>#DIV/0!</v>
      </c>
      <c r="E6" s="5">
        <f>COUNTIF(Data!OO:OO,"*Earth*")</f>
        <v>0</v>
      </c>
      <c r="F6" s="6" t="e">
        <f>E6/E11</f>
        <v>#DIV/0!</v>
      </c>
    </row>
    <row r="7" spans="1:6" x14ac:dyDescent="0.25">
      <c r="B7" s="4" t="s">
        <v>960</v>
      </c>
      <c r="C7" s="5">
        <f>COUNTIF(Data!PA:PA,"*Plastic_Sheet*")</f>
        <v>0</v>
      </c>
      <c r="D7" s="6" t="e">
        <f>C7/C11</f>
        <v>#DIV/0!</v>
      </c>
      <c r="E7" s="5">
        <f>COUNTIF(Data!OO:OO,"*Plastic_Sheet*")</f>
        <v>0</v>
      </c>
      <c r="F7" s="6" t="e">
        <f>E7/E11</f>
        <v>#DIV/0!</v>
      </c>
    </row>
    <row r="8" spans="1:6" x14ac:dyDescent="0.25">
      <c r="B8" s="4" t="s">
        <v>957</v>
      </c>
      <c r="C8" s="5">
        <f>COUNTIF(Data!PA:PA,"*Cement*")</f>
        <v>0</v>
      </c>
      <c r="D8" s="6" t="e">
        <f>C8/C11</f>
        <v>#DIV/0!</v>
      </c>
      <c r="E8" s="5">
        <f>COUNTIF(Data!OO:OO,"*Cement*")</f>
        <v>0</v>
      </c>
      <c r="F8" s="6" t="e">
        <f>E8/E11</f>
        <v>#DIV/0!</v>
      </c>
    </row>
    <row r="9" spans="1:6" x14ac:dyDescent="0.25">
      <c r="B9" s="4" t="s">
        <v>958</v>
      </c>
      <c r="C9" s="5">
        <f>COUNTIF(Data!PA:PA,"*Bricks*")</f>
        <v>0</v>
      </c>
      <c r="D9" s="6" t="e">
        <f>C9/C11</f>
        <v>#DIV/0!</v>
      </c>
      <c r="E9" s="5">
        <f>COUNTIF(Data!OO:OO,"*Bricks*")</f>
        <v>0</v>
      </c>
      <c r="F9" s="6" t="e">
        <f>E9/E11</f>
        <v>#DIV/0!</v>
      </c>
    </row>
    <row r="10" spans="1:6" x14ac:dyDescent="0.25">
      <c r="B10" s="13" t="s">
        <v>770</v>
      </c>
      <c r="C10" s="14">
        <f>COUNTIF(Data!PA:PA,"*Other*")</f>
        <v>0</v>
      </c>
      <c r="D10" s="15" t="e">
        <f>C10/C11</f>
        <v>#DIV/0!</v>
      </c>
      <c r="E10" s="14">
        <f>COUNTIF(Data!OO:OO,"*Other*")</f>
        <v>0</v>
      </c>
      <c r="F10" s="15" t="e">
        <f>E10/E11</f>
        <v>#DIV/0!</v>
      </c>
    </row>
    <row r="11" spans="1:6" x14ac:dyDescent="0.25">
      <c r="B11" s="13" t="s">
        <v>751</v>
      </c>
      <c r="C11" s="14">
        <f>SUM(C6:C10)</f>
        <v>0</v>
      </c>
      <c r="D11" s="15" t="e">
        <f>SUM(D6:D10)</f>
        <v>#DIV/0!</v>
      </c>
      <c r="E11" s="14">
        <f>SUM(E6:E10)</f>
        <v>0</v>
      </c>
      <c r="F11" s="15" t="e">
        <f>SUM(F6:F10)</f>
        <v>#DIV/0!</v>
      </c>
    </row>
    <row r="13" spans="1:6" x14ac:dyDescent="0.25">
      <c r="B13" t="s">
        <v>1316</v>
      </c>
    </row>
    <row r="14" spans="1:6" x14ac:dyDescent="0.25">
      <c r="C14" s="135" t="s">
        <v>1317</v>
      </c>
      <c r="D14" s="136"/>
      <c r="E14" s="135" t="s">
        <v>992</v>
      </c>
      <c r="F14" s="136"/>
    </row>
    <row r="15" spans="1:6" x14ac:dyDescent="0.25">
      <c r="B15" s="1" t="s">
        <v>961</v>
      </c>
      <c r="C15" s="2" t="s">
        <v>747</v>
      </c>
      <c r="D15" s="88" t="s">
        <v>1054</v>
      </c>
      <c r="E15" s="2" t="s">
        <v>747</v>
      </c>
      <c r="F15" s="3" t="s">
        <v>992</v>
      </c>
    </row>
    <row r="16" spans="1:6" x14ac:dyDescent="0.25">
      <c r="B16" s="4" t="s">
        <v>962</v>
      </c>
      <c r="C16" s="5">
        <f>COUNTIF(Data!PC:PC,"*Wood*")</f>
        <v>0</v>
      </c>
      <c r="D16" s="6" t="e">
        <f>C16/C21</f>
        <v>#DIV/0!</v>
      </c>
      <c r="E16" s="5">
        <f>COUNTIF(Data!OQ:OQ,"*Wood*")</f>
        <v>0</v>
      </c>
      <c r="F16" s="6" t="e">
        <f>E16/E21</f>
        <v>#DIV/0!</v>
      </c>
    </row>
    <row r="17" spans="2:6" x14ac:dyDescent="0.25">
      <c r="B17" s="4" t="s">
        <v>963</v>
      </c>
      <c r="C17" s="5">
        <f>COUNTIF(Data!PC:PC,"*Metal*")</f>
        <v>0</v>
      </c>
      <c r="D17" s="6" t="e">
        <f>C17/C21</f>
        <v>#DIV/0!</v>
      </c>
      <c r="E17" s="5">
        <f>COUNTIF(Data!OQ:OQ,"*Metal*")</f>
        <v>0</v>
      </c>
      <c r="F17" s="6" t="e">
        <f>E17/E21</f>
        <v>#DIV/0!</v>
      </c>
    </row>
    <row r="18" spans="2:6" x14ac:dyDescent="0.25">
      <c r="B18" s="4" t="s">
        <v>957</v>
      </c>
      <c r="C18" s="5">
        <f>COUNTIF(Data!PC:PC,"*Cement*")</f>
        <v>0</v>
      </c>
      <c r="D18" s="6" t="e">
        <f>C18/C21</f>
        <v>#DIV/0!</v>
      </c>
      <c r="E18" s="5">
        <f>COUNTIF(Data!OQ:OQ,"*Cement*")</f>
        <v>0</v>
      </c>
      <c r="F18" s="6" t="e">
        <f>E18/E21</f>
        <v>#DIV/0!</v>
      </c>
    </row>
    <row r="19" spans="2:6" x14ac:dyDescent="0.25">
      <c r="B19" s="4" t="s">
        <v>958</v>
      </c>
      <c r="C19" s="5">
        <f>COUNTIF(Data!PC:PC,"*Bricks*")</f>
        <v>0</v>
      </c>
      <c r="D19" s="6" t="e">
        <f>C19/C21</f>
        <v>#DIV/0!</v>
      </c>
      <c r="E19" s="5">
        <f>COUNTIF(Data!OQ:OQ,"*Bricks*")</f>
        <v>0</v>
      </c>
      <c r="F19" s="6" t="e">
        <f>E19/E21</f>
        <v>#DIV/0!</v>
      </c>
    </row>
    <row r="20" spans="2:6" x14ac:dyDescent="0.25">
      <c r="B20" s="13" t="s">
        <v>770</v>
      </c>
      <c r="C20" s="14">
        <f>COUNTIF(Data!PC:PC,"*Other*")</f>
        <v>0</v>
      </c>
      <c r="D20" s="15" t="e">
        <f>C20/C21</f>
        <v>#DIV/0!</v>
      </c>
      <c r="E20" s="14">
        <f>COUNTIF(Data!OQ:OQ,"*Other*")</f>
        <v>0</v>
      </c>
      <c r="F20" s="15" t="e">
        <f>E20/E21</f>
        <v>#DIV/0!</v>
      </c>
    </row>
    <row r="21" spans="2:6" x14ac:dyDescent="0.25">
      <c r="B21" s="13" t="s">
        <v>751</v>
      </c>
      <c r="C21" s="14">
        <f>SUM(C16:C20)</f>
        <v>0</v>
      </c>
      <c r="D21" s="15" t="e">
        <f>SUM(D16:D20)</f>
        <v>#DIV/0!</v>
      </c>
      <c r="E21" s="14">
        <f>SUM(E16:E20)</f>
        <v>0</v>
      </c>
      <c r="F21" s="15" t="e">
        <f>SUM(F16:F20)</f>
        <v>#DIV/0!</v>
      </c>
    </row>
    <row r="23" spans="2:6" x14ac:dyDescent="0.25">
      <c r="B23" t="s">
        <v>302</v>
      </c>
    </row>
    <row r="24" spans="2:6" x14ac:dyDescent="0.25">
      <c r="B24" s="1" t="s">
        <v>1075</v>
      </c>
      <c r="C24" s="2" t="s">
        <v>747</v>
      </c>
      <c r="D24" s="3" t="s">
        <v>748</v>
      </c>
    </row>
    <row r="25" spans="2:6" x14ac:dyDescent="0.25">
      <c r="B25" s="4" t="s">
        <v>960</v>
      </c>
      <c r="C25" s="5">
        <f>COUNTIF(Data!PE:PE,"*Plastic_Sheet*")</f>
        <v>0</v>
      </c>
      <c r="D25" s="6" t="e">
        <f>C25/C30</f>
        <v>#DIV/0!</v>
      </c>
    </row>
    <row r="26" spans="2:6" x14ac:dyDescent="0.25">
      <c r="B26" s="4" t="s">
        <v>964</v>
      </c>
      <c r="C26" s="5">
        <f>COUNTIF(Data!PE:PE,"*Iron_Sheet*")</f>
        <v>0</v>
      </c>
      <c r="D26" s="6" t="e">
        <f>C26/C30</f>
        <v>#DIV/0!</v>
      </c>
    </row>
    <row r="27" spans="2:6" x14ac:dyDescent="0.25">
      <c r="B27" s="4" t="s">
        <v>958</v>
      </c>
      <c r="C27" s="5">
        <f>COUNTIF(Data!PE:PE,"*Bricks*")</f>
        <v>0</v>
      </c>
      <c r="D27" s="6" t="e">
        <f>C27/C30</f>
        <v>#DIV/0!</v>
      </c>
    </row>
    <row r="28" spans="2:6" x14ac:dyDescent="0.25">
      <c r="B28" s="4" t="s">
        <v>956</v>
      </c>
      <c r="C28" s="5">
        <f>COUNTIF(Data!PE:PE,"*Earth*")</f>
        <v>0</v>
      </c>
      <c r="D28" s="6" t="e">
        <f>C28/C30</f>
        <v>#DIV/0!</v>
      </c>
    </row>
    <row r="29" spans="2:6" x14ac:dyDescent="0.25">
      <c r="B29" s="13" t="s">
        <v>770</v>
      </c>
      <c r="C29" s="14">
        <f>COUNTIF(Data!PE:PE,"*Other*")</f>
        <v>0</v>
      </c>
      <c r="D29" s="15" t="e">
        <f>C29/C30</f>
        <v>#DIV/0!</v>
      </c>
    </row>
    <row r="30" spans="2:6" x14ac:dyDescent="0.25">
      <c r="B30" s="13" t="s">
        <v>751</v>
      </c>
      <c r="C30" s="14">
        <f>SUM(C25:C29)</f>
        <v>0</v>
      </c>
      <c r="D30" s="15" t="e">
        <f>SUM(D25:D29)</f>
        <v>#DIV/0!</v>
      </c>
    </row>
    <row r="32" spans="2:6" x14ac:dyDescent="0.25">
      <c r="B32" t="s">
        <v>303</v>
      </c>
    </row>
    <row r="33" spans="2:4" x14ac:dyDescent="0.25">
      <c r="B33" s="1" t="s">
        <v>966</v>
      </c>
      <c r="C33" s="2" t="s">
        <v>747</v>
      </c>
      <c r="D33" s="3" t="s">
        <v>748</v>
      </c>
    </row>
    <row r="34" spans="2:4" x14ac:dyDescent="0.25">
      <c r="B34" s="4" t="s">
        <v>960</v>
      </c>
      <c r="C34" s="5">
        <f>COUNTIF(Data!PG:PG,"*Plastic_Sheet*")</f>
        <v>0</v>
      </c>
      <c r="D34" s="6" t="e">
        <f>C34/C39</f>
        <v>#DIV/0!</v>
      </c>
    </row>
    <row r="35" spans="2:4" x14ac:dyDescent="0.25">
      <c r="B35" s="4" t="s">
        <v>964</v>
      </c>
      <c r="C35" s="5">
        <f>COUNTIF(Data!PG:PG,"*Iron_Sheet*")</f>
        <v>0</v>
      </c>
      <c r="D35" s="6" t="e">
        <f>C35/C39</f>
        <v>#DIV/0!</v>
      </c>
    </row>
    <row r="36" spans="2:4" x14ac:dyDescent="0.25">
      <c r="B36" s="4" t="s">
        <v>965</v>
      </c>
      <c r="C36" s="5">
        <f>COUNTIF(Data!PG:PG,"*Vegetation*")</f>
        <v>0</v>
      </c>
      <c r="D36" s="6" t="e">
        <f>C36/C39</f>
        <v>#DIV/0!</v>
      </c>
    </row>
    <row r="37" spans="2:4" x14ac:dyDescent="0.25">
      <c r="B37" s="4" t="s">
        <v>956</v>
      </c>
      <c r="C37" s="5">
        <f>COUNTIF(Data!PG:PG,"*Earth*")</f>
        <v>0</v>
      </c>
      <c r="D37" s="6" t="e">
        <f>C37/C39</f>
        <v>#DIV/0!</v>
      </c>
    </row>
    <row r="38" spans="2:4" x14ac:dyDescent="0.25">
      <c r="B38" s="13" t="s">
        <v>770</v>
      </c>
      <c r="C38" s="14">
        <f>COUNTIF(Data!PG:PG,"*Other*")</f>
        <v>0</v>
      </c>
      <c r="D38" s="15" t="e">
        <f>C38/C39</f>
        <v>#DIV/0!</v>
      </c>
    </row>
    <row r="39" spans="2:4" x14ac:dyDescent="0.25">
      <c r="B39" s="13" t="s">
        <v>751</v>
      </c>
      <c r="C39" s="14">
        <f>SUM(C34:C38)</f>
        <v>0</v>
      </c>
      <c r="D39" s="15" t="e">
        <f>SUM(D34:D38)</f>
        <v>#DIV/0!</v>
      </c>
    </row>
    <row r="41" spans="2:4" x14ac:dyDescent="0.25">
      <c r="B41" t="s">
        <v>157</v>
      </c>
    </row>
    <row r="42" spans="2:4" x14ac:dyDescent="0.25">
      <c r="B42" s="1" t="s">
        <v>1069</v>
      </c>
      <c r="C42" s="2" t="s">
        <v>747</v>
      </c>
      <c r="D42" s="3" t="s">
        <v>748</v>
      </c>
    </row>
    <row r="43" spans="2:4" x14ac:dyDescent="0.25">
      <c r="B43" s="4" t="s">
        <v>1062</v>
      </c>
      <c r="C43" s="27">
        <f>COUNTIF(Data!IG:IG,"Built_on_my_own")</f>
        <v>0</v>
      </c>
      <c r="D43" s="6" t="e">
        <f>C43/C47</f>
        <v>#DIV/0!</v>
      </c>
    </row>
    <row r="44" spans="2:4" x14ac:dyDescent="0.25">
      <c r="B44" s="4" t="s">
        <v>1063</v>
      </c>
      <c r="C44" s="5">
        <f>COUNTIF(Data!IG:IG,"Received_as_hum_assistance")</f>
        <v>0</v>
      </c>
      <c r="D44" s="6" t="e">
        <f>C44/C47</f>
        <v>#DIV/0!</v>
      </c>
    </row>
    <row r="45" spans="2:4" x14ac:dyDescent="0.25">
      <c r="B45" s="4" t="s">
        <v>1064</v>
      </c>
      <c r="C45" s="5">
        <f>COUNTIF(Data!IG:IG,"I_took_because_it_was_empty")</f>
        <v>0</v>
      </c>
      <c r="D45" s="6" t="e">
        <f>C45/C47</f>
        <v>#DIV/0!</v>
      </c>
    </row>
    <row r="46" spans="2:4" x14ac:dyDescent="0.25">
      <c r="B46" s="13" t="s">
        <v>770</v>
      </c>
      <c r="C46" s="14">
        <f>COUNTIF(Data!IG:IG,"Other")</f>
        <v>0</v>
      </c>
      <c r="D46" s="15" t="e">
        <f>C46/C47</f>
        <v>#DIV/0!</v>
      </c>
    </row>
    <row r="47" spans="2:4" x14ac:dyDescent="0.25">
      <c r="B47" s="13" t="s">
        <v>751</v>
      </c>
      <c r="C47" s="14">
        <f>SUM(C43:C46)</f>
        <v>0</v>
      </c>
      <c r="D47" s="23" t="e">
        <f>SUM(D43:D46)</f>
        <v>#DIV/0!</v>
      </c>
    </row>
    <row r="49" spans="2:4" x14ac:dyDescent="0.25">
      <c r="B49" t="s">
        <v>158</v>
      </c>
    </row>
    <row r="50" spans="2:4" x14ac:dyDescent="0.25">
      <c r="B50" s="10" t="s">
        <v>1074</v>
      </c>
      <c r="C50" s="11" t="s">
        <v>747</v>
      </c>
      <c r="D50" s="12" t="s">
        <v>748</v>
      </c>
    </row>
    <row r="51" spans="2:4" x14ac:dyDescent="0.25">
      <c r="B51" s="4" t="s">
        <v>1065</v>
      </c>
      <c r="C51" s="5">
        <f>COUNTIF(Data!II:II,"Bought_here")</f>
        <v>0</v>
      </c>
      <c r="D51" s="6" t="e">
        <f>C51/C56</f>
        <v>#DIV/0!</v>
      </c>
    </row>
    <row r="52" spans="2:4" x14ac:dyDescent="0.25">
      <c r="B52" s="4" t="s">
        <v>1066</v>
      </c>
      <c r="C52" s="5">
        <f>COUNTIF(Data!II:II,"Brought_from_elsewhere")</f>
        <v>0</v>
      </c>
      <c r="D52" s="6" t="e">
        <f>C52/C56</f>
        <v>#DIV/0!</v>
      </c>
    </row>
    <row r="53" spans="2:4" x14ac:dyDescent="0.25">
      <c r="B53" s="4" t="s">
        <v>1067</v>
      </c>
      <c r="C53" s="5">
        <f>COUNTIF(Data!II:II,"Found ")</f>
        <v>0</v>
      </c>
      <c r="D53" s="6" t="e">
        <f>C53/C56</f>
        <v>#DIV/0!</v>
      </c>
    </row>
    <row r="54" spans="2:4" x14ac:dyDescent="0.25">
      <c r="B54" s="4" t="s">
        <v>770</v>
      </c>
      <c r="C54" s="5">
        <f>COUNTIF(Data!II:II,"Other")</f>
        <v>0</v>
      </c>
      <c r="D54" s="6" t="e">
        <f>C54/C56</f>
        <v>#DIV/0!</v>
      </c>
    </row>
    <row r="55" spans="2:4" x14ac:dyDescent="0.25">
      <c r="B55" s="13" t="s">
        <v>1068</v>
      </c>
      <c r="C55" s="14">
        <f>COUNTIF(Data!II:II,"Recycled_previous_shelter")</f>
        <v>0</v>
      </c>
      <c r="D55" s="15" t="e">
        <f>C55/C56</f>
        <v>#DIV/0!</v>
      </c>
    </row>
    <row r="56" spans="2:4" x14ac:dyDescent="0.25">
      <c r="B56" s="13" t="s">
        <v>751</v>
      </c>
      <c r="C56" s="14">
        <f>SUM(C51:C55)</f>
        <v>0</v>
      </c>
      <c r="D56" s="23" t="e">
        <f>SUM(D51:D55)</f>
        <v>#DIV/0!</v>
      </c>
    </row>
    <row r="58" spans="2:4" x14ac:dyDescent="0.25">
      <c r="B58" t="s">
        <v>159</v>
      </c>
    </row>
    <row r="59" spans="2:4" x14ac:dyDescent="0.25">
      <c r="B59" s="10" t="s">
        <v>1070</v>
      </c>
      <c r="C59" s="2" t="s">
        <v>747</v>
      </c>
      <c r="D59" s="3" t="s">
        <v>748</v>
      </c>
    </row>
    <row r="60" spans="2:4" x14ac:dyDescent="0.25">
      <c r="B60" s="4" t="s">
        <v>1071</v>
      </c>
      <c r="C60" s="5">
        <f>COUNTIF(Data!IK5:IK9999,"*Own*")</f>
        <v>0</v>
      </c>
      <c r="D60" s="6" t="e">
        <f>C60/C64</f>
        <v>#DIV/0!</v>
      </c>
    </row>
    <row r="61" spans="2:4" x14ac:dyDescent="0.25">
      <c r="B61" s="4" t="s">
        <v>1072</v>
      </c>
      <c r="C61" s="5">
        <f>COUNTIF(Data!IK5:IK9999,"*Hired*")</f>
        <v>0</v>
      </c>
      <c r="D61" s="6" t="e">
        <f>C61/C64</f>
        <v>#DIV/0!</v>
      </c>
    </row>
    <row r="62" spans="2:4" x14ac:dyDescent="0.25">
      <c r="B62" s="4" t="s">
        <v>1073</v>
      </c>
      <c r="C62" s="5">
        <f>COUNTIF(Data!IK5:IK9999,"*Community*")</f>
        <v>0</v>
      </c>
      <c r="D62" s="6" t="e">
        <f>C62/C64</f>
        <v>#DIV/0!</v>
      </c>
    </row>
    <row r="63" spans="2:4" x14ac:dyDescent="0.25">
      <c r="B63" s="13" t="s">
        <v>770</v>
      </c>
      <c r="C63" s="14">
        <f>COUNTIF(Data!IK5:IK9999,"*Other*")</f>
        <v>0</v>
      </c>
      <c r="D63" s="15" t="e">
        <f>C63/C64</f>
        <v>#DIV/0!</v>
      </c>
    </row>
    <row r="64" spans="2:4" x14ac:dyDescent="0.25">
      <c r="B64" s="13" t="s">
        <v>751</v>
      </c>
      <c r="C64" s="14">
        <f>SUM(C60:C63)</f>
        <v>0</v>
      </c>
      <c r="D64" s="23" t="e">
        <f>SUM(D60:D63)</f>
        <v>#DIV/0!</v>
      </c>
    </row>
    <row r="66" spans="2:4" x14ac:dyDescent="0.25">
      <c r="B66" t="s">
        <v>186</v>
      </c>
    </row>
    <row r="67" spans="2:4" x14ac:dyDescent="0.25">
      <c r="B67" s="10" t="s">
        <v>1080</v>
      </c>
      <c r="C67" s="11" t="s">
        <v>755</v>
      </c>
      <c r="D67" s="12" t="s">
        <v>748</v>
      </c>
    </row>
    <row r="68" spans="2:4" x14ac:dyDescent="0.25">
      <c r="B68" s="4" t="s">
        <v>1078</v>
      </c>
      <c r="C68" s="5">
        <f>COUNTIF(Data!JS:JS,"wood")</f>
        <v>0</v>
      </c>
      <c r="D68" s="6" t="e">
        <f>C68/C72</f>
        <v>#DIV/0!</v>
      </c>
    </row>
    <row r="69" spans="2:4" x14ac:dyDescent="0.25">
      <c r="B69" s="4" t="s">
        <v>1081</v>
      </c>
      <c r="C69" s="5">
        <f>COUNTIF(Data!JS:JS,"garbage_waste")</f>
        <v>0</v>
      </c>
      <c r="D69" s="6" t="e">
        <f>C69/C72</f>
        <v>#DIV/0!</v>
      </c>
    </row>
    <row r="70" spans="2:4" x14ac:dyDescent="0.25">
      <c r="B70" s="4" t="s">
        <v>1079</v>
      </c>
      <c r="C70" s="5">
        <f>COUNTIF(Data!JS:JS,"charcoal")</f>
        <v>0</v>
      </c>
      <c r="D70" s="6" t="e">
        <f>C70/C72</f>
        <v>#DIV/0!</v>
      </c>
    </row>
    <row r="71" spans="2:4" x14ac:dyDescent="0.25">
      <c r="B71" s="13" t="s">
        <v>770</v>
      </c>
      <c r="C71" s="14">
        <f>COUNTIF(Data!JS:JS,"Other")</f>
        <v>0</v>
      </c>
      <c r="D71" s="15" t="e">
        <f>C71/C72</f>
        <v>#DIV/0!</v>
      </c>
    </row>
    <row r="72" spans="2:4" x14ac:dyDescent="0.25">
      <c r="B72" s="13" t="s">
        <v>751</v>
      </c>
      <c r="C72" s="14">
        <f>SUM(C68:C71)</f>
        <v>0</v>
      </c>
      <c r="D72" s="23" t="e">
        <f>SUM(D68:D71)</f>
        <v>#DIV/0!</v>
      </c>
    </row>
    <row r="74" spans="2:4" x14ac:dyDescent="0.25">
      <c r="B74" t="s">
        <v>187</v>
      </c>
    </row>
    <row r="75" spans="2:4" x14ac:dyDescent="0.25">
      <c r="B75" s="10" t="s">
        <v>771</v>
      </c>
      <c r="C75" s="11" t="s">
        <v>755</v>
      </c>
      <c r="D75" s="12" t="s">
        <v>748</v>
      </c>
    </row>
    <row r="76" spans="2:4" x14ac:dyDescent="0.25">
      <c r="B76" s="20" t="s">
        <v>772</v>
      </c>
      <c r="C76" s="5">
        <f>COUNTIF(Data!JU:JU,"Collect_from_inside_the")</f>
        <v>0</v>
      </c>
      <c r="D76" s="6" t="e">
        <f>C76/C79</f>
        <v>#DIV/0!</v>
      </c>
    </row>
    <row r="77" spans="2:4" x14ac:dyDescent="0.25">
      <c r="B77" s="20" t="s">
        <v>773</v>
      </c>
      <c r="C77" s="5">
        <f>COUNTIF(Data!JU:JU,"Collect_from_around_settl")</f>
        <v>0</v>
      </c>
      <c r="D77" s="6" t="e">
        <f>C77/C79</f>
        <v>#DIV/0!</v>
      </c>
    </row>
    <row r="78" spans="2:4" x14ac:dyDescent="0.25">
      <c r="B78" s="21" t="s">
        <v>774</v>
      </c>
      <c r="C78" s="14">
        <f>COUNTIF(Data!JU:JU,"Purchase_locally")</f>
        <v>0</v>
      </c>
      <c r="D78" s="15" t="e">
        <f>C78/C79</f>
        <v>#DIV/0!</v>
      </c>
    </row>
    <row r="79" spans="2:4" x14ac:dyDescent="0.25">
      <c r="B79" s="21" t="s">
        <v>751</v>
      </c>
      <c r="C79" s="22">
        <f>SUM(C76:C78)</f>
        <v>0</v>
      </c>
      <c r="D79" s="15" t="e">
        <f>SUM(D76:D78)</f>
        <v>#DIV/0!</v>
      </c>
    </row>
  </sheetData>
  <mergeCells count="4">
    <mergeCell ref="C4:D4"/>
    <mergeCell ref="E4:F4"/>
    <mergeCell ref="C14:D14"/>
    <mergeCell ref="E14:F14"/>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1"/>
  <sheetViews>
    <sheetView workbookViewId="0"/>
  </sheetViews>
  <sheetFormatPr defaultRowHeight="15" x14ac:dyDescent="0.25"/>
  <cols>
    <col min="2" max="2" width="16" customWidth="1"/>
    <col min="3" max="3" width="14.140625" customWidth="1"/>
    <col min="4" max="4" width="19.140625" customWidth="1"/>
  </cols>
  <sheetData>
    <row r="1" spans="1:5" s="128" customFormat="1" ht="16.5" customHeight="1" x14ac:dyDescent="0.25">
      <c r="A1" s="127">
        <v>7</v>
      </c>
      <c r="B1" s="128" t="s">
        <v>1305</v>
      </c>
    </row>
    <row r="3" spans="1:5" x14ac:dyDescent="0.25">
      <c r="B3" t="s">
        <v>72</v>
      </c>
    </row>
    <row r="4" spans="1:5" x14ac:dyDescent="0.25">
      <c r="B4" s="35" t="s">
        <v>809</v>
      </c>
      <c r="C4" s="36" t="s">
        <v>747</v>
      </c>
      <c r="D4" s="37" t="s">
        <v>748</v>
      </c>
    </row>
    <row r="5" spans="1:5" x14ac:dyDescent="0.25">
      <c r="B5" s="4" t="s">
        <v>749</v>
      </c>
      <c r="C5" s="5">
        <f>COUNTIF(Data!DO:DO,"Yes")</f>
        <v>0</v>
      </c>
      <c r="D5" s="6" t="e">
        <f>C5/C7</f>
        <v>#DIV/0!</v>
      </c>
    </row>
    <row r="6" spans="1:5" x14ac:dyDescent="0.25">
      <c r="B6" s="13" t="s">
        <v>750</v>
      </c>
      <c r="C6" s="14">
        <f>COUNTIF(Data!DO:DO,"No")</f>
        <v>0</v>
      </c>
      <c r="D6" s="15" t="e">
        <f>C6/C7</f>
        <v>#DIV/0!</v>
      </c>
    </row>
    <row r="7" spans="1:5" x14ac:dyDescent="0.25">
      <c r="B7" s="16" t="s">
        <v>751</v>
      </c>
      <c r="C7" s="14">
        <f>SUM(C5:C6)</f>
        <v>0</v>
      </c>
      <c r="D7" s="15" t="e">
        <f>SUM(D5:D6)</f>
        <v>#DIV/0!</v>
      </c>
    </row>
    <row r="9" spans="1:5" x14ac:dyDescent="0.25">
      <c r="B9" t="s">
        <v>73</v>
      </c>
    </row>
    <row r="10" spans="1:5" x14ac:dyDescent="0.25">
      <c r="B10" s="35" t="s">
        <v>810</v>
      </c>
      <c r="C10" s="36" t="s">
        <v>755</v>
      </c>
      <c r="D10" s="37" t="s">
        <v>748</v>
      </c>
      <c r="E10" s="5"/>
    </row>
    <row r="11" spans="1:5" x14ac:dyDescent="0.25">
      <c r="B11" s="4" t="s">
        <v>839</v>
      </c>
      <c r="C11" s="5">
        <f>COUNTIFS(Data!DP:DP,"&lt;5")</f>
        <v>0</v>
      </c>
      <c r="D11" s="6" t="e">
        <f>C11/C18</f>
        <v>#DIV/0!</v>
      </c>
      <c r="E11" s="5"/>
    </row>
    <row r="12" spans="1:5" x14ac:dyDescent="0.25">
      <c r="B12" s="4" t="s">
        <v>834</v>
      </c>
      <c r="C12" s="5">
        <f>COUNTIFS(Data!DP:DP,"&gt;=5",Data!DP:DP,"&lt;=10")</f>
        <v>0</v>
      </c>
      <c r="D12" s="6" t="e">
        <f>C12/C18</f>
        <v>#DIV/0!</v>
      </c>
      <c r="E12" s="5"/>
    </row>
    <row r="13" spans="1:5" x14ac:dyDescent="0.25">
      <c r="B13" s="4" t="s">
        <v>835</v>
      </c>
      <c r="C13" s="5">
        <f>COUNTIFS(Data!DP:DP,"&gt;10",Data!DP:DP,"&lt;=15")</f>
        <v>0</v>
      </c>
      <c r="D13" s="6" t="e">
        <f>C13/C18</f>
        <v>#DIV/0!</v>
      </c>
      <c r="E13" s="5"/>
    </row>
    <row r="14" spans="1:5" x14ac:dyDescent="0.25">
      <c r="B14" s="4" t="s">
        <v>836</v>
      </c>
      <c r="C14" s="5">
        <f>COUNTIFS(Data!DP:DP,"&gt;15",Data!DP:DP,"&lt;=20")</f>
        <v>0</v>
      </c>
      <c r="D14" s="6" t="e">
        <f>C14/C18</f>
        <v>#DIV/0!</v>
      </c>
      <c r="E14" s="5"/>
    </row>
    <row r="15" spans="1:5" x14ac:dyDescent="0.25">
      <c r="B15" s="4" t="s">
        <v>837</v>
      </c>
      <c r="C15" s="5">
        <f>COUNTIFS(Data!DP:DP,"&gt;20",Data!DP:DP,"&lt;=25")</f>
        <v>0</v>
      </c>
      <c r="D15" s="6" t="e">
        <f>C15/C18</f>
        <v>#DIV/0!</v>
      </c>
      <c r="E15" s="5"/>
    </row>
    <row r="16" spans="1:5" x14ac:dyDescent="0.25">
      <c r="B16" s="4" t="s">
        <v>838</v>
      </c>
      <c r="C16" s="5">
        <f>COUNTIFS(Data!DP:DP,"&gt;25",Data!DP:DP,"&lt;=30")</f>
        <v>0</v>
      </c>
      <c r="D16" s="6" t="e">
        <f>C16/C18</f>
        <v>#DIV/0!</v>
      </c>
      <c r="E16" s="5"/>
    </row>
    <row r="17" spans="2:5" x14ac:dyDescent="0.25">
      <c r="B17" s="16" t="s">
        <v>840</v>
      </c>
      <c r="C17" s="14">
        <f>COUNTIFS(Data!DP:DP,"&gt;30")</f>
        <v>0</v>
      </c>
      <c r="D17" s="15" t="e">
        <f>C17/C18</f>
        <v>#DIV/0!</v>
      </c>
      <c r="E17" s="5"/>
    </row>
    <row r="18" spans="2:5" x14ac:dyDescent="0.25">
      <c r="B18" s="16" t="s">
        <v>751</v>
      </c>
      <c r="C18" s="14">
        <f>SUM(C11:C17)</f>
        <v>0</v>
      </c>
      <c r="D18" s="15" t="e">
        <f>SUM(D11:D17)</f>
        <v>#DIV/0!</v>
      </c>
      <c r="E18" s="5"/>
    </row>
    <row r="19" spans="2:5" x14ac:dyDescent="0.25">
      <c r="B19" s="16" t="s">
        <v>756</v>
      </c>
      <c r="C19" s="30" t="e">
        <f>AVERAGE(Data!DP:DP)</f>
        <v>#DIV/0!</v>
      </c>
      <c r="D19" s="25"/>
      <c r="E19" s="5"/>
    </row>
    <row r="20" spans="2:5" x14ac:dyDescent="0.25">
      <c r="B20" s="38"/>
      <c r="C20" s="5"/>
      <c r="D20" s="5"/>
      <c r="E20" s="5"/>
    </row>
    <row r="21" spans="2:5" x14ac:dyDescent="0.25">
      <c r="B21" t="s">
        <v>74</v>
      </c>
    </row>
    <row r="22" spans="2:5" x14ac:dyDescent="0.25">
      <c r="B22" s="35" t="s">
        <v>841</v>
      </c>
      <c r="C22" s="36" t="s">
        <v>755</v>
      </c>
      <c r="D22" s="37" t="s">
        <v>748</v>
      </c>
    </row>
    <row r="23" spans="2:5" x14ac:dyDescent="0.25">
      <c r="B23" s="4" t="s">
        <v>1320</v>
      </c>
      <c r="C23" s="5">
        <f>COUNTIF(Data!DQ:DQ,"&lt;1")</f>
        <v>0</v>
      </c>
      <c r="D23" s="6" t="e">
        <f>C23/C26</f>
        <v>#DIV/0!</v>
      </c>
    </row>
    <row r="24" spans="2:5" x14ac:dyDescent="0.25">
      <c r="B24" s="4" t="s">
        <v>1321</v>
      </c>
      <c r="C24" s="5">
        <f>COUNTIFS(Data!DQ:DQ,"&gt;=1",Data!DQ:DQ,"&lt;=5")</f>
        <v>0</v>
      </c>
      <c r="D24" s="6" t="e">
        <f>C24/C27</f>
        <v>#DIV/0!</v>
      </c>
    </row>
    <row r="25" spans="2:5" x14ac:dyDescent="0.25">
      <c r="B25" s="4" t="s">
        <v>1318</v>
      </c>
      <c r="C25" s="5">
        <f>COUNTIFS(Data!DQ:DQ,"&gt;=3",Data!DQ:DQ,"&lt;=4")</f>
        <v>0</v>
      </c>
      <c r="D25" s="6" t="e">
        <f>C25/C27</f>
        <v>#DIV/0!</v>
      </c>
    </row>
    <row r="26" spans="2:5" x14ac:dyDescent="0.25">
      <c r="B26" s="13" t="s">
        <v>1319</v>
      </c>
      <c r="C26" s="14">
        <f>COUNTIFS(Data!DQ:DQ,"&gt;4")</f>
        <v>0</v>
      </c>
      <c r="D26" s="15" t="e">
        <f>C26/C27</f>
        <v>#DIV/0!</v>
      </c>
    </row>
    <row r="27" spans="2:5" x14ac:dyDescent="0.25">
      <c r="B27" s="16" t="s">
        <v>751</v>
      </c>
      <c r="C27" s="14">
        <f>SUM(C24:C26)</f>
        <v>0</v>
      </c>
      <c r="D27" s="15" t="e">
        <f>SUM(D24:D26)</f>
        <v>#DIV/0!</v>
      </c>
    </row>
    <row r="28" spans="2:5" x14ac:dyDescent="0.25">
      <c r="B28" s="16" t="s">
        <v>756</v>
      </c>
      <c r="C28" s="14" t="e">
        <f>AVERAGE(Data!DQ:DQ)</f>
        <v>#DIV/0!</v>
      </c>
      <c r="D28" s="25"/>
    </row>
    <row r="29" spans="2:5" x14ac:dyDescent="0.25">
      <c r="B29" s="5"/>
      <c r="C29" s="5"/>
    </row>
    <row r="30" spans="2:5" x14ac:dyDescent="0.25">
      <c r="B30" t="s">
        <v>75</v>
      </c>
    </row>
    <row r="31" spans="2:5" ht="18" customHeight="1" x14ac:dyDescent="0.25">
      <c r="B31" s="35" t="s">
        <v>842</v>
      </c>
      <c r="C31" s="36" t="s">
        <v>747</v>
      </c>
      <c r="D31" s="37" t="s">
        <v>748</v>
      </c>
    </row>
    <row r="32" spans="2:5" x14ac:dyDescent="0.25">
      <c r="B32" s="20" t="s">
        <v>843</v>
      </c>
      <c r="C32" s="5">
        <f>COUNTIF(Data!DR:DR,"*Grains*")</f>
        <v>0</v>
      </c>
      <c r="D32" s="6" t="e">
        <f>C32/C38</f>
        <v>#DIV/0!</v>
      </c>
    </row>
    <row r="33" spans="2:4" x14ac:dyDescent="0.25">
      <c r="B33" s="20" t="s">
        <v>844</v>
      </c>
      <c r="C33" s="5">
        <f>COUNTIF(Data!DR:DR,"*Vegetable*")</f>
        <v>0</v>
      </c>
      <c r="D33" s="6" t="e">
        <f>C33/C38</f>
        <v>#DIV/0!</v>
      </c>
    </row>
    <row r="34" spans="2:4" x14ac:dyDescent="0.25">
      <c r="B34" s="20" t="s">
        <v>845</v>
      </c>
      <c r="C34" s="5">
        <f>COUNTIF(Data!DR:DR,"*construction_material*")</f>
        <v>0</v>
      </c>
      <c r="D34" s="6" t="e">
        <f>C34/C38</f>
        <v>#DIV/0!</v>
      </c>
    </row>
    <row r="35" spans="2:4" x14ac:dyDescent="0.25">
      <c r="B35" s="20" t="s">
        <v>846</v>
      </c>
      <c r="C35" s="5">
        <f>COUNTIF(Data!DR:DR,"*Pulses_Beans*")</f>
        <v>0</v>
      </c>
      <c r="D35" s="6" t="e">
        <f>C35/C38</f>
        <v>#DIV/0!</v>
      </c>
    </row>
    <row r="36" spans="2:4" x14ac:dyDescent="0.25">
      <c r="B36" s="20" t="s">
        <v>847</v>
      </c>
      <c r="C36" s="5">
        <f>COUNTIF(Data!DR:DR,"*Meat_Fish*")</f>
        <v>0</v>
      </c>
      <c r="D36" s="6" t="e">
        <f>C36/C38</f>
        <v>#DIV/0!</v>
      </c>
    </row>
    <row r="37" spans="2:4" x14ac:dyDescent="0.25">
      <c r="B37" s="21" t="s">
        <v>770</v>
      </c>
      <c r="C37" s="14">
        <f>COUNTIF(Data!DR:DR,"*Other*")</f>
        <v>0</v>
      </c>
      <c r="D37" s="15" t="e">
        <f>C37/C38</f>
        <v>#DIV/0!</v>
      </c>
    </row>
    <row r="38" spans="2:4" x14ac:dyDescent="0.25">
      <c r="B38" s="21" t="s">
        <v>812</v>
      </c>
      <c r="C38" s="14">
        <f>SUM(C32:C37)</f>
        <v>0</v>
      </c>
      <c r="D38" s="15" t="e">
        <f>SUM(D32:D37)</f>
        <v>#DIV/0!</v>
      </c>
    </row>
    <row r="39" spans="2:4" x14ac:dyDescent="0.25">
      <c r="B39" s="59" t="s">
        <v>813</v>
      </c>
      <c r="C39" s="14">
        <f>COUNTIF(Data!DR5:DR9827,"*a*") + COUNTIF(Data!DR5:DR9827,"Other")</f>
        <v>0</v>
      </c>
      <c r="D39" s="25"/>
    </row>
    <row r="41" spans="2:4" x14ac:dyDescent="0.25">
      <c r="B41" t="s">
        <v>188</v>
      </c>
    </row>
    <row r="42" spans="2:4" x14ac:dyDescent="0.25">
      <c r="B42" s="1" t="s">
        <v>752</v>
      </c>
      <c r="C42" s="2" t="s">
        <v>747</v>
      </c>
      <c r="D42" s="3" t="s">
        <v>748</v>
      </c>
    </row>
    <row r="43" spans="2:4" x14ac:dyDescent="0.25">
      <c r="B43" s="4" t="s">
        <v>749</v>
      </c>
      <c r="C43" s="5">
        <f>COUNTIF(Data!JV:JV,"Yes")</f>
        <v>0</v>
      </c>
      <c r="D43" s="6" t="e">
        <f>C43/C45</f>
        <v>#DIV/0!</v>
      </c>
    </row>
    <row r="44" spans="2:4" x14ac:dyDescent="0.25">
      <c r="B44" s="4" t="s">
        <v>750</v>
      </c>
      <c r="C44" s="5">
        <f>COUNTIF(Data!JV:JV,"No")</f>
        <v>0</v>
      </c>
      <c r="D44" s="6" t="e">
        <f>C44/C45</f>
        <v>#DIV/0!</v>
      </c>
    </row>
    <row r="45" spans="2:4" x14ac:dyDescent="0.25">
      <c r="B45" s="7" t="s">
        <v>751</v>
      </c>
      <c r="C45" s="8">
        <f>SUM(C43:C44)</f>
        <v>0</v>
      </c>
      <c r="D45" s="9" t="e">
        <f>SUM(D43:D44)</f>
        <v>#DIV/0!</v>
      </c>
    </row>
    <row r="47" spans="2:4" x14ac:dyDescent="0.25">
      <c r="B47" t="s">
        <v>189</v>
      </c>
    </row>
    <row r="48" spans="2:4" x14ac:dyDescent="0.25">
      <c r="B48" s="1" t="s">
        <v>1076</v>
      </c>
      <c r="C48" s="2" t="s">
        <v>747</v>
      </c>
      <c r="D48" s="3" t="s">
        <v>748</v>
      </c>
    </row>
    <row r="49" spans="2:4" x14ac:dyDescent="0.25">
      <c r="B49" s="4" t="s">
        <v>753</v>
      </c>
      <c r="C49" s="5">
        <f>COUNTIF(Data!JW:JW,"Private")</f>
        <v>0</v>
      </c>
      <c r="D49" s="6" t="e">
        <f>C49/C51</f>
        <v>#DIV/0!</v>
      </c>
    </row>
    <row r="50" spans="2:4" x14ac:dyDescent="0.25">
      <c r="B50" s="4" t="s">
        <v>754</v>
      </c>
      <c r="C50" s="5">
        <f>COUNTIF(Data!JW:JW,"Communal")</f>
        <v>0</v>
      </c>
      <c r="D50" s="6" t="e">
        <f>C50/C51</f>
        <v>#DIV/0!</v>
      </c>
    </row>
    <row r="51" spans="2:4" x14ac:dyDescent="0.25">
      <c r="B51" s="7" t="s">
        <v>751</v>
      </c>
      <c r="C51" s="8">
        <f>SUM(C49:C50)</f>
        <v>0</v>
      </c>
      <c r="D51" s="9" t="e">
        <f>SUM(D49:D50)</f>
        <v>#DIV/0!</v>
      </c>
    </row>
    <row r="53" spans="2:4" x14ac:dyDescent="0.25">
      <c r="B53" t="s">
        <v>191</v>
      </c>
    </row>
    <row r="54" spans="2:4" x14ac:dyDescent="0.25">
      <c r="B54" s="1" t="s">
        <v>757</v>
      </c>
      <c r="C54" s="2" t="s">
        <v>747</v>
      </c>
      <c r="D54" s="3" t="s">
        <v>748</v>
      </c>
    </row>
    <row r="55" spans="2:4" x14ac:dyDescent="0.25">
      <c r="B55" s="4" t="s">
        <v>749</v>
      </c>
      <c r="C55" s="5">
        <f>COUNTIF(Data!JY:JY,"Yes")</f>
        <v>0</v>
      </c>
      <c r="D55" s="6" t="e">
        <f>C55/C57</f>
        <v>#DIV/0!</v>
      </c>
    </row>
    <row r="56" spans="2:4" x14ac:dyDescent="0.25">
      <c r="B56" s="4" t="s">
        <v>750</v>
      </c>
      <c r="C56" s="5">
        <f>COUNTIF(Data!JY:JY,"No")</f>
        <v>0</v>
      </c>
      <c r="D56" s="6" t="e">
        <f>C56/C57</f>
        <v>#DIV/0!</v>
      </c>
    </row>
    <row r="57" spans="2:4" x14ac:dyDescent="0.25">
      <c r="B57" s="7" t="s">
        <v>751</v>
      </c>
      <c r="C57" s="8">
        <f>SUM(C55:C56)</f>
        <v>0</v>
      </c>
      <c r="D57" s="9" t="e">
        <f>SUM(D55:D56)</f>
        <v>#DIV/0!</v>
      </c>
    </row>
    <row r="59" spans="2:4" x14ac:dyDescent="0.25">
      <c r="B59" t="s">
        <v>192</v>
      </c>
    </row>
    <row r="60" spans="2:4" x14ac:dyDescent="0.25">
      <c r="B60" s="1" t="s">
        <v>1077</v>
      </c>
      <c r="C60" s="2" t="s">
        <v>747</v>
      </c>
      <c r="D60" s="3" t="s">
        <v>748</v>
      </c>
    </row>
    <row r="61" spans="2:4" x14ac:dyDescent="0.25">
      <c r="B61" s="4" t="s">
        <v>758</v>
      </c>
      <c r="C61" s="5">
        <f>COUNTIF(Data!JZ:JZ,"*In_the_open_by_the_home*")</f>
        <v>0</v>
      </c>
      <c r="D61" s="6" t="e">
        <f>C61/C64</f>
        <v>#DIV/0!</v>
      </c>
    </row>
    <row r="62" spans="2:4" x14ac:dyDescent="0.25">
      <c r="B62" s="4" t="s">
        <v>759</v>
      </c>
      <c r="C62" s="5">
        <f>COUNTIF(Data!JZ:JZ,"*In_the_open_away_from_the*")</f>
        <v>0</v>
      </c>
      <c r="D62" s="6" t="e">
        <f>C62/C64</f>
        <v>#DIV/0!</v>
      </c>
    </row>
    <row r="63" spans="2:4" x14ac:dyDescent="0.25">
      <c r="B63" s="4" t="s">
        <v>760</v>
      </c>
      <c r="C63" s="5">
        <f>COUNTIF(Data!JZ:JZ,"*community_defecation_point*")</f>
        <v>0</v>
      </c>
      <c r="D63" s="6" t="e">
        <f>C63/C64</f>
        <v>#DIV/0!</v>
      </c>
    </row>
    <row r="64" spans="2:4" x14ac:dyDescent="0.25">
      <c r="B64" s="7" t="s">
        <v>751</v>
      </c>
      <c r="C64" s="8">
        <f>SUM(C61:C63)</f>
        <v>0</v>
      </c>
      <c r="D64" s="9" t="e">
        <f>SUM(D61:D63)</f>
        <v>#DIV/0!</v>
      </c>
    </row>
    <row r="67" spans="2:4" x14ac:dyDescent="0.25">
      <c r="B67" t="s">
        <v>190</v>
      </c>
    </row>
    <row r="68" spans="2:4" x14ac:dyDescent="0.25">
      <c r="B68" s="10" t="s">
        <v>762</v>
      </c>
      <c r="C68" s="11" t="s">
        <v>755</v>
      </c>
      <c r="D68" s="12" t="s">
        <v>748</v>
      </c>
    </row>
    <row r="69" spans="2:4" x14ac:dyDescent="0.25">
      <c r="B69" s="4" t="s">
        <v>1322</v>
      </c>
      <c r="C69" s="5">
        <f>SUMIF(Data!JX:JX,"&lt;10")</f>
        <v>0</v>
      </c>
      <c r="D69" s="6"/>
    </row>
    <row r="70" spans="2:4" x14ac:dyDescent="0.25">
      <c r="B70" s="4" t="s">
        <v>1323</v>
      </c>
      <c r="C70" s="5">
        <f>COUNTIFS(Data!JX:JX,"&gt;=10",Data!JX:JX,"&lt;20")</f>
        <v>0</v>
      </c>
      <c r="D70" s="6" t="e">
        <f>C70/C73</f>
        <v>#DIV/0!</v>
      </c>
    </row>
    <row r="71" spans="2:4" x14ac:dyDescent="0.25">
      <c r="B71" s="4" t="s">
        <v>1324</v>
      </c>
      <c r="C71" s="5">
        <f>COUNTIFS(Data!JX:JX,"&gt;=20",Data!JX:JX,"&lt;30")</f>
        <v>0</v>
      </c>
      <c r="D71" s="6" t="e">
        <f>C71/C74</f>
        <v>#DIV/0!</v>
      </c>
    </row>
    <row r="72" spans="2:4" x14ac:dyDescent="0.25">
      <c r="B72" s="13" t="s">
        <v>1325</v>
      </c>
      <c r="C72" s="14">
        <f>SUMIF(Data!JX:JX,"&gt;29")</f>
        <v>0</v>
      </c>
      <c r="D72" s="15" t="e">
        <f>C72/C73</f>
        <v>#DIV/0!</v>
      </c>
    </row>
    <row r="73" spans="2:4" x14ac:dyDescent="0.25">
      <c r="B73" s="16" t="s">
        <v>751</v>
      </c>
      <c r="C73" s="14">
        <f>SUM(C70:C72)</f>
        <v>0</v>
      </c>
      <c r="D73" s="15"/>
    </row>
    <row r="74" spans="2:4" x14ac:dyDescent="0.25">
      <c r="B74" s="17" t="s">
        <v>756</v>
      </c>
      <c r="C74" s="19" t="e">
        <f>AVERAGE(Data!JX:JX)</f>
        <v>#DIV/0!</v>
      </c>
      <c r="D74" s="18"/>
    </row>
    <row r="76" spans="2:4" x14ac:dyDescent="0.25">
      <c r="B76" t="s">
        <v>233</v>
      </c>
    </row>
    <row r="77" spans="2:4" x14ac:dyDescent="0.25">
      <c r="B77" s="10" t="s">
        <v>775</v>
      </c>
      <c r="C77" s="11" t="s">
        <v>755</v>
      </c>
      <c r="D77" s="12" t="s">
        <v>748</v>
      </c>
    </row>
    <row r="78" spans="2:4" x14ac:dyDescent="0.25">
      <c r="B78" s="20" t="s">
        <v>763</v>
      </c>
      <c r="C78" s="5">
        <f>COUNTIF(Data!MB:MB,"Water_Tank")</f>
        <v>0</v>
      </c>
      <c r="D78" s="6" t="e">
        <f>C78/C91</f>
        <v>#DIV/0!</v>
      </c>
    </row>
    <row r="79" spans="2:4" x14ac:dyDescent="0.25">
      <c r="B79" s="20" t="s">
        <v>764</v>
      </c>
      <c r="C79" s="5">
        <f>COUNTIF(Data!MB:MB,"Borehole")</f>
        <v>0</v>
      </c>
      <c r="D79" s="6" t="e">
        <f>C79/C91</f>
        <v>#DIV/0!</v>
      </c>
    </row>
    <row r="80" spans="2:4" x14ac:dyDescent="0.25">
      <c r="B80" s="20" t="s">
        <v>765</v>
      </c>
      <c r="C80" s="5">
        <f>COUNTIF(Data!MB:MB,"Shallow_well_or_well")</f>
        <v>0</v>
      </c>
      <c r="D80" s="6" t="e">
        <f>C80/C91</f>
        <v>#DIV/0!</v>
      </c>
    </row>
    <row r="81" spans="2:4" x14ac:dyDescent="0.25">
      <c r="B81" s="20" t="s">
        <v>766</v>
      </c>
      <c r="C81" s="5">
        <f>COUNTIF(Data!MB:MB,"River")</f>
        <v>0</v>
      </c>
      <c r="D81" s="6" t="e">
        <f>C81/C91</f>
        <v>#DIV/0!</v>
      </c>
    </row>
    <row r="82" spans="2:4" x14ac:dyDescent="0.25">
      <c r="B82" s="20" t="s">
        <v>767</v>
      </c>
      <c r="C82" s="5">
        <f>COUNTIF(Data!MB:MB,"Water_Kiosk")</f>
        <v>0</v>
      </c>
      <c r="D82" s="6" t="e">
        <f>C82/C91</f>
        <v>#DIV/0!</v>
      </c>
    </row>
    <row r="83" spans="2:4" x14ac:dyDescent="0.25">
      <c r="B83" s="20" t="s">
        <v>768</v>
      </c>
      <c r="C83" s="5">
        <f>COUNTIF(Data!MB:MB,"Other_Piped_System")</f>
        <v>0</v>
      </c>
      <c r="D83" s="6" t="e">
        <f>C83/C91</f>
        <v>#DIV/0!</v>
      </c>
    </row>
    <row r="84" spans="2:4" x14ac:dyDescent="0.25">
      <c r="B84" s="20" t="s">
        <v>776</v>
      </c>
      <c r="C84" s="5">
        <f>COUNTIF(Data!MB:MB,"Protected_Well_wo_hand_pump")</f>
        <v>0</v>
      </c>
      <c r="D84" s="6" t="e">
        <f>C84/C91</f>
        <v>#DIV/0!</v>
      </c>
    </row>
    <row r="85" spans="2:4" x14ac:dyDescent="0.25">
      <c r="B85" s="20" t="s">
        <v>777</v>
      </c>
      <c r="C85" s="5">
        <f>COUNTIF(Data!MB:MB,"Protected_Well_with_hand_Pump")</f>
        <v>0</v>
      </c>
      <c r="D85" s="6" t="e">
        <f>C85/C91</f>
        <v>#DIV/0!</v>
      </c>
    </row>
    <row r="86" spans="2:4" x14ac:dyDescent="0.25">
      <c r="B86" s="20" t="s">
        <v>778</v>
      </c>
      <c r="C86" s="5">
        <f>COUNTIF(Data!MB:MB,"Unprotected_Well")</f>
        <v>0</v>
      </c>
      <c r="D86" s="6" t="e">
        <f>C86/C91</f>
        <v>#DIV/0!</v>
      </c>
    </row>
    <row r="87" spans="2:4" x14ac:dyDescent="0.25">
      <c r="B87" s="20" t="s">
        <v>769</v>
      </c>
      <c r="C87" s="5">
        <f>COUNTIF(Data!MB:MB,"Burkad")</f>
        <v>0</v>
      </c>
      <c r="D87" s="6" t="e">
        <f>C87/C91</f>
        <v>#DIV/0!</v>
      </c>
    </row>
    <row r="88" spans="2:4" x14ac:dyDescent="0.25">
      <c r="B88" s="20" t="s">
        <v>779</v>
      </c>
      <c r="C88" s="5">
        <f>COUNTIF(Data!MB:MB,"Tank_and_Tap")</f>
        <v>0</v>
      </c>
      <c r="D88" s="6" t="e">
        <f>C88/C91</f>
        <v>#DIV/0!</v>
      </c>
    </row>
    <row r="89" spans="2:4" x14ac:dyDescent="0.25">
      <c r="B89" s="20" t="s">
        <v>780</v>
      </c>
      <c r="C89" s="5">
        <f>COUNTIF(Data!MB:MB,"Water_Trucking_Distribution_Point")</f>
        <v>0</v>
      </c>
      <c r="D89" s="6" t="e">
        <f>C89/C91</f>
        <v>#DIV/0!</v>
      </c>
    </row>
    <row r="90" spans="2:4" x14ac:dyDescent="0.25">
      <c r="B90" s="21" t="s">
        <v>770</v>
      </c>
      <c r="C90" s="14">
        <f>COUNTIF(Data!MB:MB,"Other")</f>
        <v>0</v>
      </c>
      <c r="D90" s="15" t="e">
        <f>C90/C91</f>
        <v>#DIV/0!</v>
      </c>
    </row>
    <row r="91" spans="2:4" x14ac:dyDescent="0.25">
      <c r="B91" s="16" t="s">
        <v>751</v>
      </c>
      <c r="C91" s="14">
        <f>SUM(C78:C90)</f>
        <v>0</v>
      </c>
      <c r="D91" s="23" t="e">
        <f>SUM(D78:D90)</f>
        <v>#DIV/0!</v>
      </c>
    </row>
    <row r="93" spans="2:4" x14ac:dyDescent="0.25">
      <c r="B93" t="s">
        <v>235</v>
      </c>
    </row>
    <row r="94" spans="2:4" x14ac:dyDescent="0.25">
      <c r="B94" s="10" t="s">
        <v>781</v>
      </c>
      <c r="C94" s="11" t="s">
        <v>755</v>
      </c>
      <c r="D94" s="12" t="s">
        <v>748</v>
      </c>
    </row>
    <row r="95" spans="2:4" x14ac:dyDescent="0.25">
      <c r="B95" s="4" t="s">
        <v>761</v>
      </c>
      <c r="C95" s="5">
        <f>COUNTIF(Data!MD:MD,"&lt;=10")</f>
        <v>0</v>
      </c>
      <c r="D95" s="6" t="e">
        <f>C95/C102</f>
        <v>#DIV/0!</v>
      </c>
    </row>
    <row r="96" spans="2:4" x14ac:dyDescent="0.25">
      <c r="B96" s="24" t="s">
        <v>782</v>
      </c>
      <c r="C96" s="5">
        <f>COUNTIFS(Data!MD:MD,"&gt;10",Data!MD:MD,"&lt;=20")</f>
        <v>0</v>
      </c>
      <c r="D96" s="6" t="e">
        <f>C96/C102</f>
        <v>#DIV/0!</v>
      </c>
    </row>
    <row r="97" spans="2:4" x14ac:dyDescent="0.25">
      <c r="B97" s="4" t="s">
        <v>783</v>
      </c>
      <c r="C97" s="5">
        <f>COUNTIFS(Data!MD:MD,"&gt;20",Data!MD:MD,"&lt;=30")</f>
        <v>0</v>
      </c>
      <c r="D97" s="6" t="e">
        <f>C97/C102</f>
        <v>#DIV/0!</v>
      </c>
    </row>
    <row r="98" spans="2:4" x14ac:dyDescent="0.25">
      <c r="B98" s="4" t="s">
        <v>784</v>
      </c>
      <c r="C98" s="5">
        <f>COUNTIFS(Data!MD:MD,"&gt;30",Data!MD:MD,"&lt;=40")</f>
        <v>0</v>
      </c>
      <c r="D98" s="6" t="e">
        <f>C98/C102</f>
        <v>#DIV/0!</v>
      </c>
    </row>
    <row r="99" spans="2:4" x14ac:dyDescent="0.25">
      <c r="B99" s="4" t="s">
        <v>785</v>
      </c>
      <c r="C99" s="5">
        <f>COUNTIFS(Data!MD:MD,"&gt;51",Data!MD:MD,"&lt;=60")</f>
        <v>0</v>
      </c>
      <c r="D99" s="6" t="e">
        <f>C99/C102</f>
        <v>#DIV/0!</v>
      </c>
    </row>
    <row r="100" spans="2:4" x14ac:dyDescent="0.25">
      <c r="B100" s="4" t="s">
        <v>786</v>
      </c>
      <c r="C100" s="5">
        <f>COUNTIFS(Data!MD:MD,"&gt;=51",Data!MD:MD,"&lt;=60")</f>
        <v>0</v>
      </c>
      <c r="D100" s="6" t="e">
        <f>C100/C102</f>
        <v>#DIV/0!</v>
      </c>
    </row>
    <row r="101" spans="2:4" x14ac:dyDescent="0.25">
      <c r="B101" s="16" t="s">
        <v>787</v>
      </c>
      <c r="C101" s="14">
        <f>COUNTIFS(Data!MD:MD,"&gt;60")</f>
        <v>0</v>
      </c>
      <c r="D101" s="15" t="e">
        <f>C101/C102</f>
        <v>#DIV/0!</v>
      </c>
    </row>
    <row r="102" spans="2:4" x14ac:dyDescent="0.25">
      <c r="B102" s="16" t="s">
        <v>751</v>
      </c>
      <c r="C102" s="14">
        <f>SUM(C95:C101)</f>
        <v>0</v>
      </c>
      <c r="D102" s="15" t="e">
        <f>SUM(D95:D101)</f>
        <v>#DIV/0!</v>
      </c>
    </row>
    <row r="103" spans="2:4" x14ac:dyDescent="0.25">
      <c r="B103" s="16" t="s">
        <v>756</v>
      </c>
      <c r="C103" s="14" t="e">
        <f>AVERAGE(Data!MD:MD)</f>
        <v>#DIV/0!</v>
      </c>
      <c r="D103" s="15"/>
    </row>
    <row r="105" spans="2:4" x14ac:dyDescent="0.25">
      <c r="B105" t="s">
        <v>236</v>
      </c>
    </row>
    <row r="106" spans="2:4" x14ac:dyDescent="0.25">
      <c r="B106" s="10" t="s">
        <v>790</v>
      </c>
      <c r="C106" s="11" t="s">
        <v>755</v>
      </c>
      <c r="D106" s="12" t="s">
        <v>748</v>
      </c>
    </row>
    <row r="107" spans="2:4" x14ac:dyDescent="0.25">
      <c r="B107" s="4" t="s">
        <v>788</v>
      </c>
      <c r="C107" s="5">
        <f>COUNTIF(Data!ME:ME,"*Drinking*")</f>
        <v>0</v>
      </c>
      <c r="D107" s="6" t="e">
        <f>C107/C110</f>
        <v>#DIV/0!</v>
      </c>
    </row>
    <row r="108" spans="2:4" x14ac:dyDescent="0.25">
      <c r="B108" s="4" t="s">
        <v>789</v>
      </c>
      <c r="C108" s="5">
        <f>COUNTIF(Data!ME:ME,"*Washing*")</f>
        <v>0</v>
      </c>
      <c r="D108" s="6" t="e">
        <f>C108/C110</f>
        <v>#DIV/0!</v>
      </c>
    </row>
    <row r="109" spans="2:4" x14ac:dyDescent="0.25">
      <c r="B109" s="13" t="s">
        <v>770</v>
      </c>
      <c r="C109" s="14">
        <f>COUNTIF(Data!ME:ME,"*Other_use*")</f>
        <v>0</v>
      </c>
      <c r="D109" s="15" t="e">
        <f>C109/C110</f>
        <v>#DIV/0!</v>
      </c>
    </row>
    <row r="110" spans="2:4" x14ac:dyDescent="0.25">
      <c r="B110" s="13" t="s">
        <v>751</v>
      </c>
      <c r="C110" s="14">
        <f>SUM(C107:C109)</f>
        <v>0</v>
      </c>
      <c r="D110" s="15" t="e">
        <f>SUM(D107:D109)</f>
        <v>#DIV/0!</v>
      </c>
    </row>
    <row r="111" spans="2:4" x14ac:dyDescent="0.25">
      <c r="B111" s="59" t="s">
        <v>813</v>
      </c>
      <c r="C111" s="14">
        <f>COUNTIF(Data!ME5:ME9827,"*i*") + COUNTIF(Data!ME5:ME9827,"Other_use")</f>
        <v>0</v>
      </c>
      <c r="D111" s="25"/>
    </row>
    <row r="113" spans="2:4" x14ac:dyDescent="0.25">
      <c r="B113" t="s">
        <v>238</v>
      </c>
    </row>
    <row r="114" spans="2:4" x14ac:dyDescent="0.25">
      <c r="B114" s="10" t="s">
        <v>791</v>
      </c>
      <c r="C114" s="11" t="s">
        <v>755</v>
      </c>
      <c r="D114" s="12" t="s">
        <v>748</v>
      </c>
    </row>
    <row r="115" spans="2:4" x14ac:dyDescent="0.25">
      <c r="B115" s="4" t="s">
        <v>761</v>
      </c>
      <c r="C115" s="5">
        <f>COUNTIF(Data!MG:MG,"&lt;10")</f>
        <v>0</v>
      </c>
      <c r="D115" s="6" t="e">
        <f>C115/C119</f>
        <v>#DIV/0!</v>
      </c>
    </row>
    <row r="116" spans="2:4" x14ac:dyDescent="0.25">
      <c r="B116" s="4" t="s">
        <v>1323</v>
      </c>
      <c r="C116" s="5">
        <f>COUNTIFS(Data!MG:MG,"&gt;=10",Data!MG:MG,"&lt;20")</f>
        <v>0</v>
      </c>
      <c r="D116" s="6" t="e">
        <f>C116/C119</f>
        <v>#DIV/0!</v>
      </c>
    </row>
    <row r="117" spans="2:4" x14ac:dyDescent="0.25">
      <c r="B117" s="4" t="s">
        <v>1324</v>
      </c>
      <c r="C117" s="5">
        <f>COUNTIFS(Data!MG:MG,"&gt;20",Data!MG:MG,"&lt;30")</f>
        <v>0</v>
      </c>
      <c r="D117" s="6" t="e">
        <f>C117/C120</f>
        <v>#DIV/0!</v>
      </c>
    </row>
    <row r="118" spans="2:4" x14ac:dyDescent="0.25">
      <c r="B118" s="13" t="s">
        <v>1325</v>
      </c>
      <c r="C118" s="14">
        <f>COUNTIF(Data!MG:MG,"&gt;29")</f>
        <v>0</v>
      </c>
      <c r="D118" s="15" t="e">
        <f>C118/C119</f>
        <v>#DIV/0!</v>
      </c>
    </row>
    <row r="119" spans="2:4" x14ac:dyDescent="0.25">
      <c r="B119" s="16" t="s">
        <v>751</v>
      </c>
      <c r="C119" s="14">
        <f>SUM(C115:C118)</f>
        <v>0</v>
      </c>
      <c r="D119" s="15"/>
    </row>
    <row r="120" spans="2:4" x14ac:dyDescent="0.25">
      <c r="B120" s="17" t="s">
        <v>756</v>
      </c>
      <c r="C120" s="19" t="e">
        <f>AVERAGE(Data!MG:MG)</f>
        <v>#DIV/0!</v>
      </c>
      <c r="D120" s="18"/>
    </row>
    <row r="122" spans="2:4" x14ac:dyDescent="0.25">
      <c r="B122" t="s">
        <v>239</v>
      </c>
    </row>
    <row r="123" spans="2:4" x14ac:dyDescent="0.25">
      <c r="B123" s="1" t="s">
        <v>1083</v>
      </c>
      <c r="C123" s="2" t="s">
        <v>747</v>
      </c>
      <c r="D123" s="3" t="s">
        <v>748</v>
      </c>
    </row>
    <row r="124" spans="2:4" x14ac:dyDescent="0.25">
      <c r="B124" s="4" t="s">
        <v>749</v>
      </c>
      <c r="C124" s="5">
        <f>COUNTIF(Data!MH:MH,"Yes")</f>
        <v>0</v>
      </c>
      <c r="D124" s="6" t="e">
        <f>C124/C126</f>
        <v>#DIV/0!</v>
      </c>
    </row>
    <row r="125" spans="2:4" x14ac:dyDescent="0.25">
      <c r="B125" s="4" t="s">
        <v>750</v>
      </c>
      <c r="C125" s="5">
        <f>COUNTIF(Data!MH:MH,"No")</f>
        <v>0</v>
      </c>
      <c r="D125" s="6" t="e">
        <f>C125/C126</f>
        <v>#DIV/0!</v>
      </c>
    </row>
    <row r="126" spans="2:4" x14ac:dyDescent="0.25">
      <c r="B126" s="7" t="s">
        <v>751</v>
      </c>
      <c r="C126" s="8">
        <f>SUM(C124:C125)</f>
        <v>0</v>
      </c>
      <c r="D126" s="9" t="e">
        <f>SUM(D124:D125)</f>
        <v>#DIV/0!</v>
      </c>
    </row>
    <row r="128" spans="2:4" x14ac:dyDescent="0.25">
      <c r="B128" t="s">
        <v>242</v>
      </c>
    </row>
    <row r="129" spans="2:4" x14ac:dyDescent="0.25">
      <c r="B129" s="10" t="s">
        <v>1082</v>
      </c>
      <c r="C129" s="11" t="s">
        <v>755</v>
      </c>
      <c r="D129" s="12" t="s">
        <v>748</v>
      </c>
    </row>
    <row r="130" spans="2:4" x14ac:dyDescent="0.25">
      <c r="B130" s="20" t="s">
        <v>796</v>
      </c>
      <c r="C130" s="27">
        <f>COUNTIF(Data!MK:MK,"one_day")</f>
        <v>0</v>
      </c>
      <c r="D130" s="28" t="e">
        <f>C130/C134</f>
        <v>#DIV/0!</v>
      </c>
    </row>
    <row r="131" spans="2:4" x14ac:dyDescent="0.25">
      <c r="B131" s="20" t="s">
        <v>797</v>
      </c>
      <c r="C131" s="5">
        <f>COUNTIF(Data!MK:MK,"two_day")</f>
        <v>0</v>
      </c>
      <c r="D131" s="6" t="e">
        <f>C131/C134</f>
        <v>#DIV/0!</v>
      </c>
    </row>
    <row r="132" spans="2:4" x14ac:dyDescent="0.25">
      <c r="B132" s="20" t="s">
        <v>798</v>
      </c>
      <c r="C132" s="5">
        <f>COUNTIF(Data!MK:MK,"three_day")</f>
        <v>0</v>
      </c>
      <c r="D132" s="6" t="e">
        <f>C132/C134</f>
        <v>#DIV/0!</v>
      </c>
    </row>
    <row r="133" spans="2:4" x14ac:dyDescent="0.25">
      <c r="B133" s="21" t="s">
        <v>799</v>
      </c>
      <c r="C133" s="14">
        <f>COUNTIF(Data!MK:MK,"More_than_3")</f>
        <v>0</v>
      </c>
      <c r="D133" s="15" t="e">
        <f>C133/C134</f>
        <v>#DIV/0!</v>
      </c>
    </row>
    <row r="134" spans="2:4" x14ac:dyDescent="0.25">
      <c r="B134" s="21" t="s">
        <v>751</v>
      </c>
      <c r="C134" s="14">
        <f>SUM(C130:C133)</f>
        <v>0</v>
      </c>
      <c r="D134" s="15" t="e">
        <f>SUM(D130:D133)</f>
        <v>#DIV/0!</v>
      </c>
    </row>
    <row r="136" spans="2:4" x14ac:dyDescent="0.25">
      <c r="B136" t="s">
        <v>240</v>
      </c>
    </row>
    <row r="137" spans="2:4" x14ac:dyDescent="0.25">
      <c r="B137" s="1" t="s">
        <v>1084</v>
      </c>
      <c r="C137" s="2" t="s">
        <v>747</v>
      </c>
      <c r="D137" s="3" t="s">
        <v>748</v>
      </c>
    </row>
    <row r="138" spans="2:4" x14ac:dyDescent="0.25">
      <c r="B138" s="4" t="s">
        <v>749</v>
      </c>
      <c r="C138" s="5">
        <f>COUNTIF(Data!MI:MI,"Yes")</f>
        <v>0</v>
      </c>
      <c r="D138" s="6" t="e">
        <f>C138/C140</f>
        <v>#DIV/0!</v>
      </c>
    </row>
    <row r="139" spans="2:4" x14ac:dyDescent="0.25">
      <c r="B139" s="4" t="s">
        <v>750</v>
      </c>
      <c r="C139" s="5">
        <f>COUNTIF(Data!MI:MI,"No")</f>
        <v>0</v>
      </c>
      <c r="D139" s="6" t="e">
        <f>C139/C140</f>
        <v>#DIV/0!</v>
      </c>
    </row>
    <row r="140" spans="2:4" x14ac:dyDescent="0.25">
      <c r="B140" s="7" t="s">
        <v>751</v>
      </c>
      <c r="C140" s="8">
        <f>SUM(C138:C139)</f>
        <v>0</v>
      </c>
      <c r="D140" s="9" t="e">
        <f>SUM(D138:D139)</f>
        <v>#DIV/0!</v>
      </c>
    </row>
    <row r="142" spans="2:4" x14ac:dyDescent="0.25">
      <c r="B142" t="s">
        <v>241</v>
      </c>
    </row>
    <row r="143" spans="2:4" x14ac:dyDescent="0.25">
      <c r="B143" s="10" t="s">
        <v>792</v>
      </c>
      <c r="C143" s="11" t="s">
        <v>755</v>
      </c>
      <c r="D143" s="29" t="s">
        <v>748</v>
      </c>
    </row>
    <row r="144" spans="2:4" x14ac:dyDescent="0.25">
      <c r="B144" s="26" t="s">
        <v>1326</v>
      </c>
      <c r="C144" s="27">
        <f>COUNTIF(Data!MJ:MJ,"&lt;1001")</f>
        <v>0</v>
      </c>
      <c r="D144" s="28" t="e">
        <f>C144/C148</f>
        <v>#DIV/0!</v>
      </c>
    </row>
    <row r="145" spans="2:4" x14ac:dyDescent="0.25">
      <c r="B145" s="4" t="s">
        <v>793</v>
      </c>
      <c r="C145" s="5">
        <f>COUNTIFS(Data!MJ:MJ,"&gt;1000",Data!MJ:MJ,"&lt;=2000")</f>
        <v>0</v>
      </c>
      <c r="D145" s="6" t="e">
        <f>C145/C148</f>
        <v>#DIV/0!</v>
      </c>
    </row>
    <row r="146" spans="2:4" x14ac:dyDescent="0.25">
      <c r="B146" s="4" t="s">
        <v>794</v>
      </c>
      <c r="C146" s="5">
        <f>COUNTIFS(Data!MJ:MJ,"&gt;2000",Data!MJ:MJ,"&lt;=3000")</f>
        <v>0</v>
      </c>
      <c r="D146" s="6" t="e">
        <f>C146/C148</f>
        <v>#DIV/0!</v>
      </c>
    </row>
    <row r="147" spans="2:4" x14ac:dyDescent="0.25">
      <c r="B147" s="16" t="s">
        <v>795</v>
      </c>
      <c r="C147" s="14">
        <f>COUNTIFS(Data!MJ:MJ,"&gt;3000")</f>
        <v>0</v>
      </c>
      <c r="D147" s="15" t="e">
        <f>C147/C148</f>
        <v>#DIV/0!</v>
      </c>
    </row>
    <row r="148" spans="2:4" x14ac:dyDescent="0.25">
      <c r="B148" s="16" t="s">
        <v>751</v>
      </c>
      <c r="C148" s="14">
        <f>SUM(C144:C147)</f>
        <v>0</v>
      </c>
      <c r="D148" s="15" t="e">
        <f>SUM(D144:D147)</f>
        <v>#DIV/0!</v>
      </c>
    </row>
    <row r="149" spans="2:4" x14ac:dyDescent="0.25">
      <c r="B149" s="16" t="s">
        <v>756</v>
      </c>
      <c r="C149" s="30" t="e">
        <f>AVERAGE(Data!MJ:MJ)</f>
        <v>#DIV/0!</v>
      </c>
      <c r="D149" s="25"/>
    </row>
    <row r="151" spans="2:4" x14ac:dyDescent="0.25">
      <c r="B151" t="s">
        <v>257</v>
      </c>
    </row>
    <row r="152" spans="2:4" x14ac:dyDescent="0.25">
      <c r="B152" s="1" t="s">
        <v>1085</v>
      </c>
      <c r="C152" s="2" t="s">
        <v>747</v>
      </c>
      <c r="D152" s="3" t="s">
        <v>748</v>
      </c>
    </row>
    <row r="153" spans="2:4" x14ac:dyDescent="0.25">
      <c r="B153" s="4" t="s">
        <v>749</v>
      </c>
      <c r="C153" s="5">
        <f>COUNTIF(Data!NF:NF,"Yes")</f>
        <v>0</v>
      </c>
      <c r="D153" s="6" t="e">
        <f>C153/C155</f>
        <v>#DIV/0!</v>
      </c>
    </row>
    <row r="154" spans="2:4" x14ac:dyDescent="0.25">
      <c r="B154" s="4" t="s">
        <v>750</v>
      </c>
      <c r="C154" s="5">
        <f>COUNTIF(Data!NF:NF,"No")</f>
        <v>0</v>
      </c>
      <c r="D154" s="6" t="e">
        <f>C154/C155</f>
        <v>#DIV/0!</v>
      </c>
    </row>
    <row r="155" spans="2:4" x14ac:dyDescent="0.25">
      <c r="B155" s="7" t="s">
        <v>751</v>
      </c>
      <c r="C155" s="8">
        <f>SUM(C153:C154)</f>
        <v>0</v>
      </c>
      <c r="D155" s="9" t="e">
        <f>SUM(D153:D154)</f>
        <v>#DIV/0!</v>
      </c>
    </row>
    <row r="157" spans="2:4" x14ac:dyDescent="0.25">
      <c r="B157" t="s">
        <v>258</v>
      </c>
    </row>
    <row r="158" spans="2:4" x14ac:dyDescent="0.25">
      <c r="B158" s="10" t="s">
        <v>800</v>
      </c>
      <c r="C158" s="11" t="s">
        <v>755</v>
      </c>
      <c r="D158" s="12" t="s">
        <v>748</v>
      </c>
    </row>
    <row r="159" spans="2:4" x14ac:dyDescent="0.25">
      <c r="B159" s="24" t="s">
        <v>833</v>
      </c>
      <c r="C159" s="5">
        <f>COUNTIFS(Data!NG:NG,"&gt;0", Data!NG:NG,"&lt;=5")</f>
        <v>0</v>
      </c>
      <c r="D159" s="6" t="e">
        <f>C159/C165</f>
        <v>#DIV/0!</v>
      </c>
    </row>
    <row r="160" spans="2:4" x14ac:dyDescent="0.25">
      <c r="B160" s="24" t="s">
        <v>1327</v>
      </c>
      <c r="C160" s="5">
        <f>COUNTIFS(Data!NG:NG,"&gt;5",Data!NG:NG,"&lt;=10")</f>
        <v>0</v>
      </c>
      <c r="D160" s="6" t="e">
        <f>C160/C165</f>
        <v>#DIV/0!</v>
      </c>
    </row>
    <row r="161" spans="2:6" x14ac:dyDescent="0.25">
      <c r="B161" s="4" t="s">
        <v>835</v>
      </c>
      <c r="C161" s="5">
        <f>COUNTIFS(Data!NG:NG,"&gt;10",Data!NG:NG,"&lt;=15")</f>
        <v>0</v>
      </c>
      <c r="D161" s="6" t="e">
        <f>C161/C165</f>
        <v>#DIV/0!</v>
      </c>
    </row>
    <row r="162" spans="2:6" x14ac:dyDescent="0.25">
      <c r="B162" s="4" t="s">
        <v>920</v>
      </c>
      <c r="C162" s="5">
        <f>COUNTIFS(Data!NG:NG,"&gt;15",Data!NG:NG,"&lt;=20")</f>
        <v>0</v>
      </c>
      <c r="D162" s="6" t="e">
        <f>C162/C165</f>
        <v>#DIV/0!</v>
      </c>
    </row>
    <row r="163" spans="2:6" x14ac:dyDescent="0.25">
      <c r="B163" s="4" t="s">
        <v>1086</v>
      </c>
      <c r="C163" s="5">
        <f>COUNTIFS(Data!NG:NG,"&gt;20",Data!NG:NG,"&lt;=25")</f>
        <v>0</v>
      </c>
      <c r="D163" s="6" t="e">
        <f>C163/C165</f>
        <v>#DIV/0!</v>
      </c>
    </row>
    <row r="164" spans="2:6" x14ac:dyDescent="0.25">
      <c r="B164" s="16" t="s">
        <v>1087</v>
      </c>
      <c r="C164" s="14">
        <f>COUNTIFS(Data!NG:NG,"&gt;25")</f>
        <v>0</v>
      </c>
      <c r="D164" s="15" t="e">
        <f>C164/C166</f>
        <v>#DIV/0!</v>
      </c>
    </row>
    <row r="165" spans="2:6" x14ac:dyDescent="0.25">
      <c r="B165" s="16" t="s">
        <v>751</v>
      </c>
      <c r="C165" s="14">
        <f>SUM(C159:C164)</f>
        <v>0</v>
      </c>
      <c r="D165" s="23" t="e">
        <f>SUM(D159:D164)</f>
        <v>#DIV/0!</v>
      </c>
    </row>
    <row r="166" spans="2:6" x14ac:dyDescent="0.25">
      <c r="B166" s="16" t="s">
        <v>756</v>
      </c>
      <c r="C166" s="30" t="e">
        <f>AVERAGE(Data!NG:NG)</f>
        <v>#DIV/0!</v>
      </c>
      <c r="D166" s="25"/>
    </row>
    <row r="169" spans="2:6" x14ac:dyDescent="0.25">
      <c r="B169" t="s">
        <v>801</v>
      </c>
    </row>
    <row r="170" spans="2:6" x14ac:dyDescent="0.25">
      <c r="B170" s="10" t="s">
        <v>802</v>
      </c>
      <c r="C170" s="11" t="s">
        <v>755</v>
      </c>
      <c r="D170" s="12" t="s">
        <v>748</v>
      </c>
    </row>
    <row r="171" spans="2:6" x14ac:dyDescent="0.25">
      <c r="B171" s="20" t="s">
        <v>749</v>
      </c>
      <c r="C171" s="5">
        <f>COUNTIF(Data!MZ:MZ,"Yes")</f>
        <v>0</v>
      </c>
      <c r="D171" s="6" t="e">
        <f>C171/C173</f>
        <v>#DIV/0!</v>
      </c>
    </row>
    <row r="172" spans="2:6" x14ac:dyDescent="0.25">
      <c r="B172" s="21" t="s">
        <v>750</v>
      </c>
      <c r="C172" s="14">
        <f>COUNTIF(Data!MZ:MZ,"No")</f>
        <v>0</v>
      </c>
      <c r="D172" s="15" t="e">
        <f>C172/C173</f>
        <v>#DIV/0!</v>
      </c>
    </row>
    <row r="173" spans="2:6" x14ac:dyDescent="0.25">
      <c r="B173" s="21" t="s">
        <v>751</v>
      </c>
      <c r="C173" s="14">
        <f>SUM(C171:C172)</f>
        <v>0</v>
      </c>
      <c r="D173" s="15" t="e">
        <f>SUM(D171:D172)</f>
        <v>#DIV/0!</v>
      </c>
    </row>
    <row r="175" spans="2:6" x14ac:dyDescent="0.25">
      <c r="B175" t="s">
        <v>1328</v>
      </c>
    </row>
    <row r="176" spans="2:6" x14ac:dyDescent="0.25">
      <c r="B176" s="10" t="s">
        <v>803</v>
      </c>
      <c r="C176" s="115" t="s">
        <v>804</v>
      </c>
      <c r="D176" s="11" t="s">
        <v>804</v>
      </c>
      <c r="E176" s="11" t="s">
        <v>805</v>
      </c>
      <c r="F176" s="12" t="s">
        <v>805</v>
      </c>
    </row>
    <row r="177" spans="2:6" x14ac:dyDescent="0.25">
      <c r="B177" s="20" t="s">
        <v>806</v>
      </c>
      <c r="C177" s="5">
        <f>COUNTIFS(Data!NA:NA,"&gt;=1",Data!NA:NA,"&lt;=2")</f>
        <v>0</v>
      </c>
      <c r="D177" s="31" t="e">
        <f>C177/C180</f>
        <v>#DIV/0!</v>
      </c>
      <c r="E177" s="5">
        <f>COUNTIFS(Data!NB:NB,"&gt;=1",Data!NB:NB,"&lt;=2")</f>
        <v>0</v>
      </c>
      <c r="F177" s="6" t="e">
        <f>E177/E180</f>
        <v>#DIV/0!</v>
      </c>
    </row>
    <row r="178" spans="2:6" x14ac:dyDescent="0.25">
      <c r="B178" s="4" t="s">
        <v>807</v>
      </c>
      <c r="C178" s="5">
        <f>COUNTIFS(Data!NA:NA,"&gt;=2",Data!NA:NA,"&lt;=5")</f>
        <v>0</v>
      </c>
      <c r="D178" s="31" t="e">
        <f>C178/C180</f>
        <v>#DIV/0!</v>
      </c>
      <c r="E178" s="5">
        <f>COUNTIFS(Data!NB:NB,"&gt;=2",Data!NB:NB,"&lt;=5")</f>
        <v>0</v>
      </c>
      <c r="F178" s="6" t="e">
        <f>E178/E180</f>
        <v>#DIV/0!</v>
      </c>
    </row>
    <row r="179" spans="2:6" x14ac:dyDescent="0.25">
      <c r="B179" s="13" t="s">
        <v>808</v>
      </c>
      <c r="C179" s="14">
        <f>COUNTIFS(Data!NA:NA,"&gt;5")</f>
        <v>0</v>
      </c>
      <c r="D179" s="32" t="e">
        <f>C179/C180</f>
        <v>#DIV/0!</v>
      </c>
      <c r="E179" s="14">
        <f>COUNTIF(Data!NB:NB,"&gt;5")</f>
        <v>0</v>
      </c>
      <c r="F179" s="15" t="e">
        <f>E179/E180</f>
        <v>#DIV/0!</v>
      </c>
    </row>
    <row r="180" spans="2:6" x14ac:dyDescent="0.25">
      <c r="B180" s="16" t="s">
        <v>751</v>
      </c>
      <c r="C180" s="14">
        <f>SUM(C177:C179)</f>
        <v>0</v>
      </c>
      <c r="D180" s="33" t="e">
        <f>SUM(D177:D179)</f>
        <v>#DIV/0!</v>
      </c>
      <c r="E180" s="14">
        <f>SUM(E177:E179)</f>
        <v>0</v>
      </c>
      <c r="F180" s="15" t="e">
        <f>SUM(F177:F179)</f>
        <v>#DIV/0!</v>
      </c>
    </row>
    <row r="181" spans="2:6" x14ac:dyDescent="0.25">
      <c r="B181" s="17" t="s">
        <v>756</v>
      </c>
      <c r="C181" s="8" t="e">
        <f>AVERAGE(Data!NA:NA)</f>
        <v>#DIV/0!</v>
      </c>
      <c r="D181" s="8"/>
      <c r="E181" s="8" t="e">
        <f>AVERAGE(Data!NB:NB)</f>
        <v>#DIV/0!</v>
      </c>
      <c r="F181" s="79"/>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Data</vt:lpstr>
      <vt:lpstr>Indicator list</vt:lpstr>
      <vt:lpstr>1</vt:lpstr>
      <vt:lpstr>2</vt:lpstr>
      <vt:lpstr>3</vt:lpstr>
      <vt:lpstr>4</vt:lpstr>
      <vt:lpstr>5</vt:lpstr>
      <vt:lpstr>6</vt:lpstr>
      <vt:lpstr>7</vt:lpstr>
      <vt:lpstr>8</vt:lpstr>
      <vt:lpstr>9</vt:lpstr>
      <vt:lpstr>10</vt:lpstr>
      <vt:lpstr>11</vt:lpstr>
      <vt:lpstr>12</vt:lpstr>
      <vt:lpstr>13</vt:lpstr>
      <vt:lpstr>14</vt:lpstr>
      <vt:lpstr>15</vt:lpstr>
      <vt:lpstr>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Melissa Meinhart</cp:lastModifiedBy>
  <dcterms:created xsi:type="dcterms:W3CDTF">2015-08-24T09:08:49Z</dcterms:created>
  <dcterms:modified xsi:type="dcterms:W3CDTF">2015-09-23T10:53:49Z</dcterms:modified>
</cp:coreProperties>
</file>