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elie Salmon\Documents\6. AGORA\8. Analyse\8.2 BASSE KOTTO\A. Diagnostic territoriaux\KOBO\"/>
    </mc:Choice>
  </mc:AlternateContent>
  <bookViews>
    <workbookView xWindow="0" yWindow="0" windowWidth="19200" windowHeight="7060" activeTab="1"/>
  </bookViews>
  <sheets>
    <sheet name="Lisez-moi" sheetId="73" r:id="rId1"/>
    <sheet name="CleaningLog" sheetId="74" r:id="rId2"/>
    <sheet name="ALINDAO_Cleaned Data" sheetId="19" r:id="rId3"/>
    <sheet name="ALINDAO_EAU" sheetId="18" r:id="rId4"/>
    <sheet name="ALINDAO_HYGIENE" sheetId="23" r:id="rId5"/>
    <sheet name="ALINDAO_SANTE" sheetId="22" r:id="rId6"/>
    <sheet name="ALINDAO_EDUCATION" sheetId="20" r:id="rId7"/>
    <sheet name="ALINDAO_MARCHES" sheetId="21" r:id="rId8"/>
    <sheet name="MINGALA_Cleaned Data" sheetId="24" r:id="rId9"/>
    <sheet name="MINGALA_EAU " sheetId="46" r:id="rId10"/>
    <sheet name="MINGALA_SANTE" sheetId="47" r:id="rId11"/>
    <sheet name="MINGALA_EDUCATION" sheetId="48" r:id="rId12"/>
    <sheet name="MINGALA_MARCHES" sheetId="49" r:id="rId13"/>
    <sheet name="KEMBE_Cleaned Data" sheetId="1" r:id="rId14"/>
    <sheet name="KEMBE_EAU" sheetId="62" r:id="rId15"/>
    <sheet name="KEMBE_SANTE" sheetId="51" r:id="rId16"/>
    <sheet name="KEMBE_EDUCATION" sheetId="52" r:id="rId17"/>
    <sheet name="KEMBE_MARCHES" sheetId="53" r:id="rId18"/>
    <sheet name="SATEMA_Cleaned Data" sheetId="10" r:id="rId19"/>
    <sheet name="SATEMA_EAU" sheetId="54" r:id="rId20"/>
    <sheet name="SATEMA_SANTE" sheetId="55" r:id="rId21"/>
    <sheet name="SATEMA_EDUCATION " sheetId="56" r:id="rId22"/>
    <sheet name="SATEMA_MARCHES" sheetId="57" r:id="rId23"/>
    <sheet name="MOBAYE_Cleaned Data" sheetId="69" r:id="rId24"/>
    <sheet name="MOBAYE_EAU" sheetId="68" r:id="rId25"/>
    <sheet name="MOBAYE_SANTE" sheetId="70" r:id="rId26"/>
    <sheet name="MOBAYE_EDUCATION" sheetId="71" r:id="rId27"/>
    <sheet name="MOBAYE_MARCHES" sheetId="72" r:id="rId28"/>
    <sheet name="ZANGBA_Cleaned Data" sheetId="36" r:id="rId29"/>
    <sheet name="ZANGBA_EAU" sheetId="64" r:id="rId30"/>
    <sheet name="ZANGBA_SANTE" sheetId="65" r:id="rId31"/>
    <sheet name="ZANGBA_EDUCATION" sheetId="66" r:id="rId32"/>
    <sheet name="ZANGBA_MARCHES" sheetId="67" r:id="rId33"/>
  </sheets>
  <definedNames>
    <definedName name="_xlnm._FilterDatabase" localSheetId="2" hidden="1">'ALINDAO_Cleaned Data'!$A$1:$AXY$65</definedName>
    <definedName name="_xlnm._FilterDatabase" localSheetId="13" hidden="1">'KEMBE_Cleaned Data'!$A$1:$ASQ$39</definedName>
    <definedName name="_xlnm._FilterDatabase" localSheetId="8" hidden="1">'MINGALA_Cleaned Data'!$A$1:$AXY$18</definedName>
    <definedName name="_xlnm._FilterDatabase" localSheetId="23" hidden="1">'MOBAYE_Cleaned Data'!$A$1:$AVW$17</definedName>
    <definedName name="_xlnm._FilterDatabase" localSheetId="18" hidden="1">'SATEMA_Cleaned Data'!$A$1:$AVW$21</definedName>
    <definedName name="_xlnm._FilterDatabase" localSheetId="28" hidden="1">'ZANGBA_Cleaned Data'!$A$1:$AXZ$19</definedName>
    <definedName name="marches_frequentation_changement">'KEMBE_Cleaned Data'!$AMP:$AMP</definedName>
    <definedName name="marches_frequentation_evolution">'KEMBE_Cleaned Data'!$AMQ:$AMQ</definedName>
    <definedName name="marches_taxes_transport">'KEMBE_Cleaned Data'!$ANJ:$ANJ</definedName>
    <definedName name="_xlnm.Print_Area" localSheetId="6">ALINDAO_EDUCATION!$A$1:$O$209</definedName>
    <definedName name="_xlnm.Print_Area" localSheetId="16">KEMBE_EDUCATION!$A$1:$O$209</definedName>
    <definedName name="_xlnm.Print_Area" localSheetId="11">MINGALA_EDUCATION!$A$1:$O$209</definedName>
    <definedName name="_xlnm.Print_Area" localSheetId="26">MOBAYE_EDUCATION!$A$1:$O$209</definedName>
    <definedName name="_xlnm.Print_Area" localSheetId="21">'SATEMA_EDUCATION '!$A$1:$O$209</definedName>
    <definedName name="_xlnm.Print_Area" localSheetId="31">ZANGBA_EDUCATION!$A$1:$O$210</definedName>
  </definedNames>
  <calcPr calcId="162913"/>
</workbook>
</file>

<file path=xl/calcChain.xml><?xml version="1.0" encoding="utf-8"?>
<calcChain xmlns="http://schemas.openxmlformats.org/spreadsheetml/2006/main">
  <c r="B122" i="72" l="1"/>
  <c r="I156" i="72"/>
  <c r="H156" i="72"/>
  <c r="G156" i="72"/>
  <c r="F156" i="72"/>
  <c r="E156" i="72"/>
  <c r="D156" i="72"/>
  <c r="C156" i="72"/>
  <c r="B156" i="72"/>
  <c r="A156" i="72"/>
  <c r="C151" i="72"/>
  <c r="B151" i="72"/>
  <c r="L147" i="72"/>
  <c r="K147" i="72"/>
  <c r="J147" i="72"/>
  <c r="I147" i="72"/>
  <c r="H147" i="72"/>
  <c r="G147" i="72"/>
  <c r="F147" i="72"/>
  <c r="E147" i="72"/>
  <c r="D147" i="72"/>
  <c r="C147" i="72"/>
  <c r="B147" i="72"/>
  <c r="A147" i="72"/>
  <c r="P143" i="72"/>
  <c r="O143" i="72"/>
  <c r="N143" i="72"/>
  <c r="M143" i="72"/>
  <c r="L143" i="72"/>
  <c r="K143" i="72"/>
  <c r="J143" i="72"/>
  <c r="I143" i="72"/>
  <c r="H143" i="72"/>
  <c r="G143" i="72"/>
  <c r="F143" i="72"/>
  <c r="E143" i="72"/>
  <c r="D143" i="72"/>
  <c r="C143" i="72"/>
  <c r="B143" i="72"/>
  <c r="A143" i="72"/>
  <c r="F138" i="72"/>
  <c r="E138" i="72"/>
  <c r="D138" i="72"/>
  <c r="C138" i="72"/>
  <c r="B138" i="72"/>
  <c r="C133" i="72"/>
  <c r="B133" i="72"/>
  <c r="H128" i="72"/>
  <c r="G128" i="72"/>
  <c r="F128" i="72"/>
  <c r="E128" i="72"/>
  <c r="D128" i="72"/>
  <c r="C128" i="72"/>
  <c r="B128" i="72"/>
  <c r="B119" i="72"/>
  <c r="G114" i="72"/>
  <c r="F114" i="72"/>
  <c r="E114" i="72"/>
  <c r="D114" i="72"/>
  <c r="C114" i="72"/>
  <c r="B114" i="72"/>
  <c r="I108" i="72"/>
  <c r="H108" i="72"/>
  <c r="G108" i="72"/>
  <c r="F108" i="72"/>
  <c r="E108" i="72"/>
  <c r="D108" i="72"/>
  <c r="C108" i="72"/>
  <c r="I103" i="72"/>
  <c r="H103" i="72"/>
  <c r="G103" i="72"/>
  <c r="F103" i="72"/>
  <c r="E103" i="72"/>
  <c r="D103" i="72"/>
  <c r="C103" i="72"/>
  <c r="F98" i="72"/>
  <c r="E98" i="72"/>
  <c r="D98" i="72"/>
  <c r="C98" i="72"/>
  <c r="C93" i="72"/>
  <c r="B93" i="72"/>
  <c r="G87" i="72"/>
  <c r="F87" i="72"/>
  <c r="E87" i="72"/>
  <c r="D87" i="72"/>
  <c r="C87" i="72"/>
  <c r="H82" i="72"/>
  <c r="G82" i="72"/>
  <c r="F82" i="72"/>
  <c r="E82" i="72"/>
  <c r="D82" i="72"/>
  <c r="C82" i="72"/>
  <c r="I77" i="72"/>
  <c r="H77" i="72"/>
  <c r="G77" i="72"/>
  <c r="F77" i="72"/>
  <c r="E77" i="72"/>
  <c r="D77" i="72"/>
  <c r="C77" i="72"/>
  <c r="B77" i="72"/>
  <c r="G71" i="72"/>
  <c r="F71" i="72"/>
  <c r="E71" i="72"/>
  <c r="D71" i="72"/>
  <c r="C71" i="72"/>
  <c r="H66" i="72"/>
  <c r="G66" i="72"/>
  <c r="F66" i="72"/>
  <c r="E66" i="72"/>
  <c r="D66" i="72"/>
  <c r="C66" i="72"/>
  <c r="I61" i="72"/>
  <c r="H61" i="72"/>
  <c r="G61" i="72"/>
  <c r="F61" i="72"/>
  <c r="E61" i="72"/>
  <c r="D61" i="72"/>
  <c r="C61" i="72"/>
  <c r="B61" i="72"/>
  <c r="L55" i="72"/>
  <c r="K55" i="72"/>
  <c r="J55" i="72"/>
  <c r="I55" i="72"/>
  <c r="H55" i="72"/>
  <c r="G55" i="72"/>
  <c r="F55" i="72"/>
  <c r="E55" i="72"/>
  <c r="D55" i="72"/>
  <c r="C55" i="72"/>
  <c r="B55" i="72"/>
  <c r="C50" i="72"/>
  <c r="B50" i="72"/>
  <c r="D50" i="72" s="1"/>
  <c r="K45" i="72"/>
  <c r="J45" i="72"/>
  <c r="I45" i="72"/>
  <c r="H45" i="72"/>
  <c r="G45" i="72"/>
  <c r="F45" i="72"/>
  <c r="E45" i="72"/>
  <c r="D45" i="72"/>
  <c r="C45" i="72"/>
  <c r="M40" i="72"/>
  <c r="L40" i="72"/>
  <c r="K40" i="72"/>
  <c r="J40" i="72"/>
  <c r="I40" i="72"/>
  <c r="H40" i="72"/>
  <c r="G40" i="72"/>
  <c r="F40" i="72"/>
  <c r="E40" i="72"/>
  <c r="D40" i="72"/>
  <c r="C40" i="72"/>
  <c r="F35" i="72"/>
  <c r="E35" i="72"/>
  <c r="D35" i="72"/>
  <c r="C35" i="72"/>
  <c r="C30" i="72"/>
  <c r="B30" i="72"/>
  <c r="A26" i="72"/>
  <c r="I22" i="72"/>
  <c r="H22" i="72"/>
  <c r="G22" i="72"/>
  <c r="F22" i="72"/>
  <c r="E22" i="72"/>
  <c r="D22" i="72"/>
  <c r="C22" i="72"/>
  <c r="B22" i="72"/>
  <c r="D17" i="72"/>
  <c r="C17" i="72"/>
  <c r="C12" i="72"/>
  <c r="B12" i="72"/>
  <c r="D8" i="72"/>
  <c r="D7" i="72"/>
  <c r="C7" i="72"/>
  <c r="B7" i="72"/>
  <c r="B3" i="72"/>
  <c r="C152" i="72" s="1"/>
  <c r="E99" i="72"/>
  <c r="A160" i="71"/>
  <c r="A157" i="71"/>
  <c r="L207" i="71"/>
  <c r="K207" i="71"/>
  <c r="J207" i="71"/>
  <c r="I207" i="71"/>
  <c r="H207" i="71"/>
  <c r="G207" i="71"/>
  <c r="F207" i="71"/>
  <c r="E207" i="71"/>
  <c r="D207" i="71"/>
  <c r="C207" i="71"/>
  <c r="B207" i="71"/>
  <c r="A207" i="71"/>
  <c r="H201" i="71"/>
  <c r="G201" i="71"/>
  <c r="F201" i="71"/>
  <c r="E201" i="71"/>
  <c r="D201" i="71"/>
  <c r="D196" i="71"/>
  <c r="C196" i="71"/>
  <c r="N191" i="71"/>
  <c r="M191" i="71"/>
  <c r="L191" i="71"/>
  <c r="K191" i="71"/>
  <c r="J191" i="71"/>
  <c r="I191" i="71"/>
  <c r="H191" i="71"/>
  <c r="G191" i="71"/>
  <c r="F191" i="71"/>
  <c r="E191" i="71"/>
  <c r="D191" i="71"/>
  <c r="C191" i="71"/>
  <c r="I186" i="71"/>
  <c r="H186" i="71"/>
  <c r="G186" i="71"/>
  <c r="F186" i="71"/>
  <c r="E186" i="71"/>
  <c r="D186" i="71"/>
  <c r="C186" i="71"/>
  <c r="C181" i="71"/>
  <c r="B181" i="71"/>
  <c r="M177" i="71"/>
  <c r="L177" i="71"/>
  <c r="K177" i="71"/>
  <c r="J177" i="71"/>
  <c r="I177" i="71"/>
  <c r="H177" i="71"/>
  <c r="G177" i="71"/>
  <c r="F177" i="71"/>
  <c r="E177" i="71"/>
  <c r="D177" i="71"/>
  <c r="C177" i="71"/>
  <c r="B177" i="71"/>
  <c r="A177" i="71"/>
  <c r="J173" i="71"/>
  <c r="I173" i="71"/>
  <c r="H173" i="71"/>
  <c r="G173" i="71"/>
  <c r="F173" i="71"/>
  <c r="E173" i="71"/>
  <c r="D173" i="71"/>
  <c r="C173" i="71"/>
  <c r="B173" i="71"/>
  <c r="A173" i="71"/>
  <c r="F168" i="71"/>
  <c r="E168" i="71"/>
  <c r="D168" i="71"/>
  <c r="C168" i="71"/>
  <c r="B168" i="71"/>
  <c r="F164" i="71"/>
  <c r="E164" i="71"/>
  <c r="D164" i="71"/>
  <c r="C164" i="71"/>
  <c r="B164" i="71"/>
  <c r="A164" i="71"/>
  <c r="G158" i="71"/>
  <c r="F158" i="71"/>
  <c r="C153" i="71"/>
  <c r="B153" i="71"/>
  <c r="D148" i="71"/>
  <c r="C148" i="71"/>
  <c r="B148" i="71"/>
  <c r="D141" i="71"/>
  <c r="C141" i="71"/>
  <c r="B141" i="71"/>
  <c r="D136" i="71"/>
  <c r="C136" i="71"/>
  <c r="B136" i="71"/>
  <c r="A132" i="71"/>
  <c r="A129" i="71"/>
  <c r="A126" i="71"/>
  <c r="J122" i="71"/>
  <c r="I122" i="71"/>
  <c r="H122" i="71"/>
  <c r="G122" i="71"/>
  <c r="F122" i="71"/>
  <c r="E122" i="71"/>
  <c r="D122" i="71"/>
  <c r="C122" i="71"/>
  <c r="I117" i="71"/>
  <c r="H117" i="71"/>
  <c r="H118" i="71" s="1"/>
  <c r="G117" i="71"/>
  <c r="F117" i="71"/>
  <c r="E117" i="71"/>
  <c r="D117" i="71"/>
  <c r="C117" i="71"/>
  <c r="F112" i="71"/>
  <c r="E112" i="71"/>
  <c r="D112" i="71"/>
  <c r="C112" i="71"/>
  <c r="D107" i="71"/>
  <c r="C107" i="71"/>
  <c r="B107" i="71"/>
  <c r="A103" i="71"/>
  <c r="A101" i="71"/>
  <c r="E96" i="71"/>
  <c r="A96" i="71"/>
  <c r="E91" i="71"/>
  <c r="A91" i="71"/>
  <c r="K86" i="71"/>
  <c r="J86" i="71"/>
  <c r="I86" i="71"/>
  <c r="H86" i="71"/>
  <c r="G86" i="71"/>
  <c r="F86" i="71"/>
  <c r="E86" i="71"/>
  <c r="D86" i="71"/>
  <c r="C86" i="71"/>
  <c r="C81" i="71"/>
  <c r="B81" i="71"/>
  <c r="D76" i="71"/>
  <c r="C76" i="71"/>
  <c r="C72" i="71"/>
  <c r="C70" i="71"/>
  <c r="D66" i="71"/>
  <c r="C66" i="71"/>
  <c r="B62" i="71"/>
  <c r="C58" i="71"/>
  <c r="B58" i="71"/>
  <c r="D77" i="71" s="1"/>
  <c r="L53" i="71"/>
  <c r="K53" i="71"/>
  <c r="J53" i="71"/>
  <c r="I53" i="71"/>
  <c r="H53" i="71"/>
  <c r="G53" i="71"/>
  <c r="F53" i="71"/>
  <c r="E53" i="71"/>
  <c r="D53" i="71"/>
  <c r="C53" i="71"/>
  <c r="B53" i="71"/>
  <c r="H48" i="71"/>
  <c r="G48" i="71"/>
  <c r="F48" i="71"/>
  <c r="E48" i="71"/>
  <c r="D48" i="71"/>
  <c r="C48" i="71"/>
  <c r="B48" i="71"/>
  <c r="G43" i="71"/>
  <c r="F43" i="71"/>
  <c r="E43" i="71"/>
  <c r="D43" i="71"/>
  <c r="C43" i="71"/>
  <c r="J38" i="71"/>
  <c r="I38" i="71"/>
  <c r="H38" i="71"/>
  <c r="G38" i="71"/>
  <c r="F38" i="71"/>
  <c r="E38" i="71"/>
  <c r="D38" i="71"/>
  <c r="C38" i="71"/>
  <c r="G33" i="71"/>
  <c r="F33" i="71"/>
  <c r="E33" i="71"/>
  <c r="D33" i="71"/>
  <c r="C33" i="71"/>
  <c r="K28" i="71"/>
  <c r="J28" i="71"/>
  <c r="I28" i="71"/>
  <c r="H28" i="71"/>
  <c r="G28" i="71"/>
  <c r="F28" i="71"/>
  <c r="E28" i="71"/>
  <c r="D28" i="71"/>
  <c r="C28" i="71"/>
  <c r="D23" i="71"/>
  <c r="D44" i="71" s="1"/>
  <c r="C23" i="71"/>
  <c r="B23" i="71"/>
  <c r="D18" i="71"/>
  <c r="C18" i="71"/>
  <c r="B18" i="71"/>
  <c r="F12" i="71"/>
  <c r="E12" i="71"/>
  <c r="D12" i="71"/>
  <c r="C12" i="71"/>
  <c r="B12" i="71"/>
  <c r="E7" i="71"/>
  <c r="D7" i="71"/>
  <c r="C7" i="71"/>
  <c r="B7" i="71"/>
  <c r="B3" i="71"/>
  <c r="B54" i="71" s="1"/>
  <c r="F202" i="71"/>
  <c r="C303" i="70"/>
  <c r="B303" i="70"/>
  <c r="C298" i="70"/>
  <c r="B298" i="70"/>
  <c r="C293" i="70"/>
  <c r="B293" i="70"/>
  <c r="C288" i="70"/>
  <c r="B288" i="70"/>
  <c r="C283" i="70"/>
  <c r="B283" i="70"/>
  <c r="C278" i="70"/>
  <c r="B278" i="70"/>
  <c r="C273" i="70"/>
  <c r="B273" i="70"/>
  <c r="H268" i="70"/>
  <c r="G268" i="70"/>
  <c r="F268" i="70"/>
  <c r="E268" i="70"/>
  <c r="D268" i="70"/>
  <c r="D263" i="70"/>
  <c r="C263" i="70"/>
  <c r="J258" i="70"/>
  <c r="I258" i="70"/>
  <c r="H258" i="70"/>
  <c r="G258" i="70"/>
  <c r="F258" i="70"/>
  <c r="E258" i="70"/>
  <c r="D258" i="70"/>
  <c r="C258" i="70"/>
  <c r="C253" i="70"/>
  <c r="B253" i="70"/>
  <c r="C248" i="70"/>
  <c r="B248" i="70"/>
  <c r="C243" i="70"/>
  <c r="B243" i="70"/>
  <c r="J238" i="70"/>
  <c r="I238" i="70"/>
  <c r="H238" i="70"/>
  <c r="G238" i="70"/>
  <c r="F238" i="70"/>
  <c r="E238" i="70"/>
  <c r="D238" i="70"/>
  <c r="C238" i="70"/>
  <c r="C233" i="70"/>
  <c r="B233" i="70"/>
  <c r="M228" i="70"/>
  <c r="L228" i="70"/>
  <c r="K228" i="70"/>
  <c r="J228" i="70"/>
  <c r="I228" i="70"/>
  <c r="H228" i="70"/>
  <c r="G228" i="70"/>
  <c r="F228" i="70"/>
  <c r="E228" i="70"/>
  <c r="D228" i="70"/>
  <c r="C228" i="70"/>
  <c r="B228" i="70"/>
  <c r="A228" i="70"/>
  <c r="H223" i="70"/>
  <c r="G223" i="70"/>
  <c r="F223" i="70"/>
  <c r="E223" i="70"/>
  <c r="D223" i="70"/>
  <c r="D218" i="70"/>
  <c r="C218" i="70"/>
  <c r="O213" i="70"/>
  <c r="N213" i="70"/>
  <c r="M213" i="70"/>
  <c r="L213" i="70"/>
  <c r="K213" i="70"/>
  <c r="J213" i="70"/>
  <c r="I213" i="70"/>
  <c r="H213" i="70"/>
  <c r="G213" i="70"/>
  <c r="F213" i="70"/>
  <c r="E213" i="70"/>
  <c r="D213" i="70"/>
  <c r="C213" i="70"/>
  <c r="I207" i="70"/>
  <c r="H207" i="70"/>
  <c r="G207" i="70"/>
  <c r="F207" i="70"/>
  <c r="E207" i="70"/>
  <c r="D207" i="70"/>
  <c r="C207" i="70"/>
  <c r="C202" i="70"/>
  <c r="B202" i="70"/>
  <c r="L198" i="70"/>
  <c r="K198" i="70"/>
  <c r="J198" i="70"/>
  <c r="I198" i="70"/>
  <c r="H198" i="70"/>
  <c r="G198" i="70"/>
  <c r="F198" i="70"/>
  <c r="E198" i="70"/>
  <c r="D198" i="70"/>
  <c r="C198" i="70"/>
  <c r="B198" i="70"/>
  <c r="A198" i="70"/>
  <c r="P194" i="70"/>
  <c r="O194" i="70"/>
  <c r="N194" i="70"/>
  <c r="M194" i="70"/>
  <c r="L194" i="70"/>
  <c r="K194" i="70"/>
  <c r="J194" i="70"/>
  <c r="I194" i="70"/>
  <c r="H194" i="70"/>
  <c r="G194" i="70"/>
  <c r="F194" i="70"/>
  <c r="E194" i="70"/>
  <c r="D194" i="70"/>
  <c r="C194" i="70"/>
  <c r="B194" i="70"/>
  <c r="A194" i="70"/>
  <c r="F189" i="70"/>
  <c r="E189" i="70"/>
  <c r="D189" i="70"/>
  <c r="C189" i="70"/>
  <c r="B189" i="70"/>
  <c r="C184" i="70"/>
  <c r="B184" i="70"/>
  <c r="G179" i="70"/>
  <c r="F179" i="70"/>
  <c r="E179" i="70"/>
  <c r="D179" i="70"/>
  <c r="C179" i="70"/>
  <c r="B179" i="70"/>
  <c r="E173" i="70"/>
  <c r="E172" i="70"/>
  <c r="E171" i="70"/>
  <c r="E170" i="70"/>
  <c r="E169" i="70"/>
  <c r="E168" i="70"/>
  <c r="E167" i="70"/>
  <c r="E166" i="70"/>
  <c r="G162" i="70"/>
  <c r="F162" i="70"/>
  <c r="E162" i="70"/>
  <c r="D162" i="70"/>
  <c r="C162" i="70"/>
  <c r="B162" i="70"/>
  <c r="M157" i="70"/>
  <c r="L157" i="70"/>
  <c r="K157" i="70"/>
  <c r="J157" i="70"/>
  <c r="I157" i="70"/>
  <c r="H157" i="70"/>
  <c r="G157" i="70"/>
  <c r="F157" i="70"/>
  <c r="E157" i="70"/>
  <c r="D157" i="70"/>
  <c r="J152" i="70"/>
  <c r="I152" i="70"/>
  <c r="H152" i="70"/>
  <c r="G152" i="70"/>
  <c r="F152" i="70"/>
  <c r="E152" i="70"/>
  <c r="D152" i="70"/>
  <c r="F147" i="70"/>
  <c r="E147" i="70"/>
  <c r="D147" i="70"/>
  <c r="C147" i="70"/>
  <c r="C142" i="70"/>
  <c r="B142" i="70"/>
  <c r="E138" i="70"/>
  <c r="F134" i="70"/>
  <c r="E134" i="70"/>
  <c r="D134" i="70"/>
  <c r="C134" i="70"/>
  <c r="B134" i="70"/>
  <c r="C129" i="70"/>
  <c r="B129" i="70"/>
  <c r="G123" i="70"/>
  <c r="F123" i="70"/>
  <c r="E123" i="70"/>
  <c r="D123" i="70"/>
  <c r="C123" i="70"/>
  <c r="B123" i="70"/>
  <c r="K118" i="70"/>
  <c r="J118" i="70"/>
  <c r="I118" i="70"/>
  <c r="H118" i="70"/>
  <c r="G118" i="70"/>
  <c r="F118" i="70"/>
  <c r="E118" i="70"/>
  <c r="D118" i="70"/>
  <c r="K113" i="70"/>
  <c r="J113" i="70"/>
  <c r="I113" i="70"/>
  <c r="H113" i="70"/>
  <c r="G113" i="70"/>
  <c r="F113" i="70"/>
  <c r="E113" i="70"/>
  <c r="D113" i="70"/>
  <c r="G108" i="70"/>
  <c r="F108" i="70"/>
  <c r="E108" i="70"/>
  <c r="D108" i="70"/>
  <c r="D103" i="70"/>
  <c r="C103" i="70"/>
  <c r="D97" i="70"/>
  <c r="C97" i="70"/>
  <c r="B97" i="70"/>
  <c r="N92" i="70"/>
  <c r="M92" i="70"/>
  <c r="L92" i="70"/>
  <c r="K92" i="70"/>
  <c r="J92" i="70"/>
  <c r="I92" i="70"/>
  <c r="H92" i="70"/>
  <c r="G92" i="70"/>
  <c r="F92" i="70"/>
  <c r="E92" i="70"/>
  <c r="D92" i="70"/>
  <c r="C92" i="70"/>
  <c r="B92" i="70"/>
  <c r="F86" i="70"/>
  <c r="E86" i="70"/>
  <c r="D86" i="70"/>
  <c r="C86" i="70"/>
  <c r="C81" i="70"/>
  <c r="B81" i="70"/>
  <c r="G76" i="70"/>
  <c r="F76" i="70"/>
  <c r="E76" i="70"/>
  <c r="D76" i="70"/>
  <c r="C76" i="70"/>
  <c r="C71" i="70"/>
  <c r="B71" i="70"/>
  <c r="D66" i="70"/>
  <c r="C66" i="70"/>
  <c r="E62" i="70"/>
  <c r="E60" i="70"/>
  <c r="D57" i="70"/>
  <c r="C57" i="70"/>
  <c r="B53" i="70"/>
  <c r="D49" i="70"/>
  <c r="C49" i="70"/>
  <c r="B49" i="70"/>
  <c r="J44" i="70"/>
  <c r="I44" i="70"/>
  <c r="H44" i="70"/>
  <c r="G44" i="70"/>
  <c r="F44" i="70"/>
  <c r="E44" i="70"/>
  <c r="D44" i="70"/>
  <c r="C44" i="70"/>
  <c r="B44" i="70"/>
  <c r="E39" i="70"/>
  <c r="D39" i="70"/>
  <c r="C39" i="70"/>
  <c r="C34" i="70"/>
  <c r="B34" i="70"/>
  <c r="G29" i="70"/>
  <c r="F29" i="70"/>
  <c r="E29" i="70"/>
  <c r="D29" i="70"/>
  <c r="C29" i="70"/>
  <c r="L24" i="70"/>
  <c r="L25" i="70" s="1"/>
  <c r="K24" i="70"/>
  <c r="K25" i="70" s="1"/>
  <c r="J24" i="70"/>
  <c r="J25" i="70" s="1"/>
  <c r="I24" i="70"/>
  <c r="I25" i="70" s="1"/>
  <c r="H24" i="70"/>
  <c r="H25" i="70" s="1"/>
  <c r="G24" i="70"/>
  <c r="G25" i="70" s="1"/>
  <c r="F24" i="70"/>
  <c r="F25" i="70" s="1"/>
  <c r="E24" i="70"/>
  <c r="E25" i="70" s="1"/>
  <c r="D24" i="70"/>
  <c r="D25" i="70" s="1"/>
  <c r="C24" i="70"/>
  <c r="C25" i="70" s="1"/>
  <c r="G19" i="70"/>
  <c r="G20" i="70" s="1"/>
  <c r="F19" i="70"/>
  <c r="F20" i="70" s="1"/>
  <c r="E19" i="70"/>
  <c r="E20" i="70" s="1"/>
  <c r="D19" i="70"/>
  <c r="D20" i="70" s="1"/>
  <c r="C19" i="70"/>
  <c r="C20" i="70" s="1"/>
  <c r="H20" i="70" s="1"/>
  <c r="M14" i="70"/>
  <c r="L14" i="70"/>
  <c r="K14" i="70"/>
  <c r="J14" i="70"/>
  <c r="I14" i="70"/>
  <c r="H14" i="70"/>
  <c r="G14" i="70"/>
  <c r="F14" i="70"/>
  <c r="E14" i="70"/>
  <c r="D14" i="70"/>
  <c r="C14" i="70"/>
  <c r="D9" i="70"/>
  <c r="C9" i="70"/>
  <c r="B9" i="70"/>
  <c r="C4" i="70"/>
  <c r="B185" i="70" s="1"/>
  <c r="C3" i="70"/>
  <c r="M167" i="68"/>
  <c r="L167" i="68"/>
  <c r="K167" i="68"/>
  <c r="J167" i="68"/>
  <c r="I167" i="68"/>
  <c r="H167" i="68"/>
  <c r="G167" i="68"/>
  <c r="F167" i="68"/>
  <c r="E167" i="68"/>
  <c r="D167" i="68"/>
  <c r="C167" i="68"/>
  <c r="B167" i="68"/>
  <c r="A167" i="68"/>
  <c r="H160" i="68"/>
  <c r="G160" i="68"/>
  <c r="F160" i="68"/>
  <c r="E160" i="68"/>
  <c r="D160" i="68"/>
  <c r="D155" i="68"/>
  <c r="C155" i="68"/>
  <c r="O150" i="68"/>
  <c r="N150" i="68"/>
  <c r="M150" i="68"/>
  <c r="L150" i="68"/>
  <c r="K150" i="68"/>
  <c r="J150" i="68"/>
  <c r="I150" i="68"/>
  <c r="H150" i="68"/>
  <c r="G150" i="68"/>
  <c r="F150" i="68"/>
  <c r="E150" i="68"/>
  <c r="D150" i="68"/>
  <c r="C150" i="68"/>
  <c r="I145" i="68"/>
  <c r="H145" i="68"/>
  <c r="G145" i="68"/>
  <c r="F145" i="68"/>
  <c r="E145" i="68"/>
  <c r="D145" i="68"/>
  <c r="C145" i="68"/>
  <c r="C140" i="68"/>
  <c r="B140" i="68"/>
  <c r="L136" i="68"/>
  <c r="K136" i="68"/>
  <c r="J136" i="68"/>
  <c r="I136" i="68"/>
  <c r="H136" i="68"/>
  <c r="G136" i="68"/>
  <c r="F136" i="68"/>
  <c r="E136" i="68"/>
  <c r="D136" i="68"/>
  <c r="C136" i="68"/>
  <c r="B136" i="68"/>
  <c r="A136" i="68"/>
  <c r="L132" i="68"/>
  <c r="K132" i="68"/>
  <c r="J132" i="68"/>
  <c r="I132" i="68"/>
  <c r="H132" i="68"/>
  <c r="G132" i="68"/>
  <c r="F132" i="68"/>
  <c r="E132" i="68"/>
  <c r="D132" i="68"/>
  <c r="C132" i="68"/>
  <c r="B132" i="68"/>
  <c r="A132" i="68"/>
  <c r="F127" i="68"/>
  <c r="E127" i="68"/>
  <c r="D127" i="68"/>
  <c r="C127" i="68"/>
  <c r="B127" i="68"/>
  <c r="D122" i="68"/>
  <c r="C122" i="68"/>
  <c r="B122" i="68"/>
  <c r="I117" i="68"/>
  <c r="H117" i="68"/>
  <c r="G117" i="68"/>
  <c r="F117" i="68"/>
  <c r="E117" i="68"/>
  <c r="D117" i="68"/>
  <c r="C117" i="68"/>
  <c r="B117" i="68"/>
  <c r="B118" i="68" s="1"/>
  <c r="J118" i="68" s="1"/>
  <c r="G113" i="68"/>
  <c r="F113" i="68"/>
  <c r="E113" i="68"/>
  <c r="D113" i="68"/>
  <c r="C113" i="68"/>
  <c r="B113" i="68"/>
  <c r="F108" i="68"/>
  <c r="E108" i="68"/>
  <c r="D108" i="68"/>
  <c r="C108" i="68"/>
  <c r="E103" i="68"/>
  <c r="D103" i="68"/>
  <c r="C103" i="68"/>
  <c r="B99" i="68"/>
  <c r="C95" i="68"/>
  <c r="B95" i="68"/>
  <c r="D90" i="68"/>
  <c r="C90" i="68"/>
  <c r="B90" i="68"/>
  <c r="I83" i="68"/>
  <c r="H83" i="68"/>
  <c r="G83" i="68"/>
  <c r="F83" i="68"/>
  <c r="E83" i="68"/>
  <c r="D83" i="68"/>
  <c r="C83" i="68"/>
  <c r="J78" i="68"/>
  <c r="I78" i="68"/>
  <c r="H78" i="68"/>
  <c r="G78" i="68"/>
  <c r="F78" i="68"/>
  <c r="E78" i="68"/>
  <c r="D78" i="68"/>
  <c r="C78" i="68"/>
  <c r="F73" i="68"/>
  <c r="E73" i="68"/>
  <c r="D73" i="68"/>
  <c r="C73" i="68"/>
  <c r="C68" i="68"/>
  <c r="B68" i="68"/>
  <c r="H63" i="68"/>
  <c r="G63" i="68"/>
  <c r="F63" i="68"/>
  <c r="E63" i="68"/>
  <c r="D63" i="68"/>
  <c r="C63" i="68"/>
  <c r="B63" i="68"/>
  <c r="F58" i="68"/>
  <c r="E58" i="68"/>
  <c r="D58" i="68"/>
  <c r="C58" i="68"/>
  <c r="B58" i="68"/>
  <c r="H53" i="68"/>
  <c r="G53" i="68"/>
  <c r="F53" i="68"/>
  <c r="E53" i="68"/>
  <c r="D53" i="68"/>
  <c r="C53" i="68"/>
  <c r="B53" i="68"/>
  <c r="A49" i="68"/>
  <c r="E45" i="68"/>
  <c r="D45" i="68"/>
  <c r="C45" i="68"/>
  <c r="B45" i="68"/>
  <c r="L38" i="68"/>
  <c r="K38" i="68"/>
  <c r="J38" i="68"/>
  <c r="I38" i="68"/>
  <c r="H38" i="68"/>
  <c r="G38" i="68"/>
  <c r="F38" i="68"/>
  <c r="E38" i="68"/>
  <c r="D38" i="68"/>
  <c r="C38" i="68"/>
  <c r="B38" i="68"/>
  <c r="H33" i="68"/>
  <c r="G33" i="68"/>
  <c r="F33" i="68"/>
  <c r="E33" i="68"/>
  <c r="D33" i="68"/>
  <c r="I28" i="68"/>
  <c r="H28" i="68"/>
  <c r="G28" i="68"/>
  <c r="F28" i="68"/>
  <c r="E28" i="68"/>
  <c r="D28" i="68"/>
  <c r="H23" i="68"/>
  <c r="G23" i="68"/>
  <c r="F23" i="68"/>
  <c r="E23" i="68"/>
  <c r="D23" i="68"/>
  <c r="F18" i="68"/>
  <c r="E18" i="68"/>
  <c r="D18" i="68"/>
  <c r="D13" i="68"/>
  <c r="C13" i="68"/>
  <c r="B13" i="68"/>
  <c r="H7" i="68"/>
  <c r="G7" i="68"/>
  <c r="F7" i="68"/>
  <c r="E7" i="68"/>
  <c r="D7" i="68"/>
  <c r="C7" i="68"/>
  <c r="B7" i="68"/>
  <c r="B3" i="68"/>
  <c r="B39" i="68" s="1"/>
  <c r="D30" i="72" l="1"/>
  <c r="E109" i="72"/>
  <c r="C77" i="71"/>
  <c r="E77" i="71" s="1"/>
  <c r="I66" i="72"/>
  <c r="G98" i="72"/>
  <c r="H109" i="72"/>
  <c r="D133" i="72"/>
  <c r="D58" i="71"/>
  <c r="E87" i="70"/>
  <c r="D113" i="71"/>
  <c r="F109" i="72"/>
  <c r="C67" i="71"/>
  <c r="E41" i="72"/>
  <c r="D99" i="72"/>
  <c r="I109" i="72"/>
  <c r="D118" i="68"/>
  <c r="C104" i="72"/>
  <c r="C146" i="68"/>
  <c r="E118" i="68"/>
  <c r="M151" i="68"/>
  <c r="D104" i="72"/>
  <c r="G104" i="72"/>
  <c r="F39" i="71"/>
  <c r="H104" i="72"/>
  <c r="E7" i="72"/>
  <c r="H83" i="72" s="1"/>
  <c r="H39" i="71"/>
  <c r="C113" i="71"/>
  <c r="E192" i="71"/>
  <c r="H202" i="71"/>
  <c r="D41" i="72"/>
  <c r="D79" i="68"/>
  <c r="C214" i="70"/>
  <c r="J259" i="70"/>
  <c r="H153" i="70"/>
  <c r="D77" i="70"/>
  <c r="D118" i="71"/>
  <c r="F46" i="72"/>
  <c r="K151" i="68"/>
  <c r="E161" i="68"/>
  <c r="E57" i="70"/>
  <c r="F104" i="72"/>
  <c r="H123" i="71"/>
  <c r="H24" i="68"/>
  <c r="E114" i="70"/>
  <c r="D243" i="70"/>
  <c r="H214" i="70"/>
  <c r="E123" i="71"/>
  <c r="H87" i="71"/>
  <c r="I151" i="68"/>
  <c r="D58" i="70"/>
  <c r="D36" i="72"/>
  <c r="G118" i="68"/>
  <c r="G151" i="68"/>
  <c r="I123" i="71"/>
  <c r="I39" i="71"/>
  <c r="G153" i="70"/>
  <c r="G224" i="70"/>
  <c r="D34" i="71"/>
  <c r="I87" i="71"/>
  <c r="D202" i="71"/>
  <c r="G41" i="72"/>
  <c r="I153" i="70"/>
  <c r="D29" i="68"/>
  <c r="G24" i="68"/>
  <c r="E39" i="71"/>
  <c r="D67" i="71"/>
  <c r="C41" i="72"/>
  <c r="K41" i="72"/>
  <c r="H46" i="72"/>
  <c r="I82" i="72"/>
  <c r="J79" i="68"/>
  <c r="I79" i="68"/>
  <c r="D104" i="68"/>
  <c r="E146" i="68"/>
  <c r="F151" i="68"/>
  <c r="D39" i="71"/>
  <c r="J87" i="71"/>
  <c r="N192" i="71"/>
  <c r="F49" i="71"/>
  <c r="K29" i="71"/>
  <c r="C87" i="71"/>
  <c r="K87" i="71"/>
  <c r="J45" i="70"/>
  <c r="C104" i="70"/>
  <c r="J158" i="70"/>
  <c r="J153" i="70"/>
  <c r="D81" i="71"/>
  <c r="C34" i="71"/>
  <c r="H34" i="71" s="1"/>
  <c r="D87" i="71"/>
  <c r="D93" i="71"/>
  <c r="E13" i="68"/>
  <c r="F64" i="68" s="1"/>
  <c r="F24" i="68"/>
  <c r="H29" i="71"/>
  <c r="F87" i="71"/>
  <c r="B123" i="68"/>
  <c r="E123" i="68" s="1"/>
  <c r="J29" i="71"/>
  <c r="E87" i="71"/>
  <c r="E18" i="71"/>
  <c r="D123" i="71"/>
  <c r="J15" i="70"/>
  <c r="K214" i="70"/>
  <c r="G29" i="71"/>
  <c r="F34" i="71"/>
  <c r="G87" i="71"/>
  <c r="D98" i="71"/>
  <c r="J123" i="71"/>
  <c r="E141" i="71"/>
  <c r="E119" i="70"/>
  <c r="J119" i="70"/>
  <c r="F153" i="70"/>
  <c r="H239" i="70"/>
  <c r="E263" i="70"/>
  <c r="L41" i="72"/>
  <c r="I46" i="72"/>
  <c r="C23" i="72"/>
  <c r="D56" i="72"/>
  <c r="L56" i="72"/>
  <c r="C94" i="72"/>
  <c r="C123" i="71"/>
  <c r="E46" i="72"/>
  <c r="G46" i="72"/>
  <c r="C79" i="68"/>
  <c r="E90" i="68"/>
  <c r="H118" i="68"/>
  <c r="E155" i="68"/>
  <c r="F36" i="72"/>
  <c r="H161" i="68"/>
  <c r="C46" i="72"/>
  <c r="K46" i="72"/>
  <c r="E239" i="70"/>
  <c r="F103" i="68"/>
  <c r="D68" i="68"/>
  <c r="C67" i="70"/>
  <c r="D104" i="70"/>
  <c r="F239" i="70"/>
  <c r="G118" i="71"/>
  <c r="F44" i="71"/>
  <c r="F118" i="71"/>
  <c r="G123" i="71"/>
  <c r="E136" i="71"/>
  <c r="F159" i="71"/>
  <c r="C187" i="71"/>
  <c r="D192" i="71"/>
  <c r="G202" i="71"/>
  <c r="H41" i="72"/>
  <c r="F79" i="68"/>
  <c r="E79" i="68"/>
  <c r="C74" i="68"/>
  <c r="G79" i="68"/>
  <c r="D239" i="70"/>
  <c r="G44" i="71"/>
  <c r="J39" i="71"/>
  <c r="C118" i="71"/>
  <c r="G23" i="72"/>
  <c r="I41" i="72"/>
  <c r="B56" i="72"/>
  <c r="J56" i="72"/>
  <c r="H79" i="68"/>
  <c r="E17" i="72"/>
  <c r="J41" i="72"/>
  <c r="F139" i="72"/>
  <c r="C129" i="72"/>
  <c r="H78" i="72"/>
  <c r="C13" i="72"/>
  <c r="B94" i="72"/>
  <c r="B139" i="72"/>
  <c r="C83" i="72"/>
  <c r="D93" i="72"/>
  <c r="E139" i="72"/>
  <c r="I56" i="72"/>
  <c r="C18" i="72"/>
  <c r="D129" i="72"/>
  <c r="B152" i="72"/>
  <c r="D152" i="72" s="1"/>
  <c r="H56" i="72"/>
  <c r="H129" i="72"/>
  <c r="C139" i="72"/>
  <c r="C36" i="72"/>
  <c r="B51" i="72"/>
  <c r="C99" i="72"/>
  <c r="D12" i="72"/>
  <c r="E36" i="72"/>
  <c r="M41" i="72"/>
  <c r="F56" i="72"/>
  <c r="I104" i="72"/>
  <c r="C109" i="72"/>
  <c r="F129" i="72"/>
  <c r="D139" i="72"/>
  <c r="F41" i="72"/>
  <c r="J46" i="72"/>
  <c r="G56" i="72"/>
  <c r="F67" i="72"/>
  <c r="F99" i="72"/>
  <c r="D109" i="72"/>
  <c r="G129" i="72"/>
  <c r="D151" i="72"/>
  <c r="B13" i="72"/>
  <c r="H71" i="72"/>
  <c r="E129" i="72"/>
  <c r="D46" i="72"/>
  <c r="E56" i="72"/>
  <c r="H87" i="72"/>
  <c r="E104" i="72"/>
  <c r="G109" i="72"/>
  <c r="B129" i="72"/>
  <c r="G35" i="72"/>
  <c r="C56" i="72"/>
  <c r="K56" i="72"/>
  <c r="I158" i="70"/>
  <c r="I29" i="68"/>
  <c r="G58" i="68"/>
  <c r="F74" i="68"/>
  <c r="E84" i="68"/>
  <c r="C118" i="68"/>
  <c r="G108" i="68"/>
  <c r="C156" i="68"/>
  <c r="I146" i="68"/>
  <c r="J151" i="68"/>
  <c r="D161" i="68"/>
  <c r="F109" i="70"/>
  <c r="C15" i="70"/>
  <c r="I15" i="70"/>
  <c r="G30" i="70"/>
  <c r="D67" i="70"/>
  <c r="C87" i="70"/>
  <c r="D114" i="70"/>
  <c r="H114" i="70"/>
  <c r="E158" i="70"/>
  <c r="M158" i="70"/>
  <c r="G214" i="70"/>
  <c r="I208" i="70"/>
  <c r="D224" i="70"/>
  <c r="G259" i="70"/>
  <c r="I259" i="70"/>
  <c r="H269" i="70"/>
  <c r="E23" i="71"/>
  <c r="D169" i="71" s="1"/>
  <c r="G39" i="71"/>
  <c r="G159" i="71"/>
  <c r="E24" i="68"/>
  <c r="G109" i="70"/>
  <c r="E30" i="70"/>
  <c r="E45" i="70"/>
  <c r="E109" i="70"/>
  <c r="I114" i="70"/>
  <c r="I119" i="70"/>
  <c r="E122" i="68"/>
  <c r="E148" i="70"/>
  <c r="C84" i="68"/>
  <c r="F109" i="68"/>
  <c r="D146" i="68"/>
  <c r="E151" i="68"/>
  <c r="F34" i="68"/>
  <c r="F161" i="68"/>
  <c r="G161" i="68"/>
  <c r="C39" i="71"/>
  <c r="F148" i="70"/>
  <c r="E44" i="71"/>
  <c r="G49" i="71"/>
  <c r="F123" i="71"/>
  <c r="D149" i="71"/>
  <c r="E8" i="68"/>
  <c r="H84" i="68"/>
  <c r="J117" i="68"/>
  <c r="F19" i="68"/>
  <c r="F29" i="68"/>
  <c r="E74" i="68"/>
  <c r="E104" i="68"/>
  <c r="F118" i="68"/>
  <c r="F146" i="68"/>
  <c r="N151" i="68"/>
  <c r="E15" i="70"/>
  <c r="F208" i="70"/>
  <c r="F214" i="70"/>
  <c r="C219" i="70"/>
  <c r="C259" i="70"/>
  <c r="K15" i="70"/>
  <c r="F45" i="70"/>
  <c r="D71" i="70"/>
  <c r="G86" i="70"/>
  <c r="H119" i="70"/>
  <c r="D129" i="70"/>
  <c r="E190" i="70"/>
  <c r="C208" i="70"/>
  <c r="D214" i="70"/>
  <c r="F224" i="70"/>
  <c r="C239" i="70"/>
  <c r="I239" i="70"/>
  <c r="D273" i="70"/>
  <c r="D293" i="70"/>
  <c r="E29" i="68"/>
  <c r="B128" i="68"/>
  <c r="L15" i="70"/>
  <c r="F87" i="70"/>
  <c r="O214" i="70"/>
  <c r="D264" i="70"/>
  <c r="C123" i="68"/>
  <c r="O151" i="68"/>
  <c r="F15" i="70"/>
  <c r="E77" i="70"/>
  <c r="D109" i="70"/>
  <c r="E208" i="70"/>
  <c r="D219" i="70"/>
  <c r="D259" i="70"/>
  <c r="E269" i="70"/>
  <c r="H29" i="68"/>
  <c r="G18" i="68"/>
  <c r="G34" i="68"/>
  <c r="H113" i="68"/>
  <c r="F114" i="70"/>
  <c r="E214" i="70"/>
  <c r="D24" i="68"/>
  <c r="H34" i="68"/>
  <c r="D109" i="68"/>
  <c r="D123" i="68"/>
  <c r="G146" i="68"/>
  <c r="C151" i="68"/>
  <c r="H8" i="68"/>
  <c r="G15" i="70"/>
  <c r="F77" i="70"/>
  <c r="J114" i="70"/>
  <c r="G208" i="70"/>
  <c r="L214" i="70"/>
  <c r="E259" i="70"/>
  <c r="H33" i="71"/>
  <c r="D19" i="71"/>
  <c r="C77" i="70"/>
  <c r="K114" i="70"/>
  <c r="H208" i="70"/>
  <c r="M214" i="70"/>
  <c r="F259" i="70"/>
  <c r="C13" i="71"/>
  <c r="M15" i="70"/>
  <c r="N214" i="70"/>
  <c r="D95" i="68"/>
  <c r="H151" i="68"/>
  <c r="D208" i="70"/>
  <c r="D45" i="70"/>
  <c r="H15" i="70"/>
  <c r="F30" i="70"/>
  <c r="C45" i="70"/>
  <c r="G77" i="70"/>
  <c r="G114" i="70"/>
  <c r="G119" i="70"/>
  <c r="H179" i="70"/>
  <c r="H224" i="70"/>
  <c r="H259" i="70"/>
  <c r="G269" i="70"/>
  <c r="I187" i="71"/>
  <c r="J192" i="71"/>
  <c r="E202" i="71"/>
  <c r="C54" i="71"/>
  <c r="B13" i="71"/>
  <c r="C49" i="71"/>
  <c r="F54" i="71"/>
  <c r="C182" i="71"/>
  <c r="F192" i="71"/>
  <c r="L192" i="71"/>
  <c r="E8" i="71"/>
  <c r="D29" i="71"/>
  <c r="E34" i="71"/>
  <c r="D49" i="71"/>
  <c r="G54" i="71"/>
  <c r="D187" i="71"/>
  <c r="G192" i="71"/>
  <c r="C197" i="71"/>
  <c r="F13" i="71"/>
  <c r="E29" i="71"/>
  <c r="E49" i="71"/>
  <c r="I54" i="71"/>
  <c r="E148" i="71"/>
  <c r="E187" i="71"/>
  <c r="H192" i="71"/>
  <c r="J54" i="71"/>
  <c r="C82" i="71"/>
  <c r="F187" i="71"/>
  <c r="I192" i="71"/>
  <c r="C24" i="71"/>
  <c r="I29" i="71"/>
  <c r="H49" i="71"/>
  <c r="K54" i="71"/>
  <c r="H187" i="71"/>
  <c r="B8" i="71"/>
  <c r="H43" i="71"/>
  <c r="C59" i="71"/>
  <c r="M192" i="71"/>
  <c r="D8" i="71"/>
  <c r="G187" i="71"/>
  <c r="E169" i="71"/>
  <c r="D54" i="71"/>
  <c r="F113" i="71"/>
  <c r="D13" i="71"/>
  <c r="B19" i="71"/>
  <c r="B24" i="71"/>
  <c r="F29" i="71"/>
  <c r="G34" i="71"/>
  <c r="C44" i="71"/>
  <c r="H44" i="71" s="1"/>
  <c r="E113" i="71"/>
  <c r="C192" i="71"/>
  <c r="K192" i="71"/>
  <c r="D197" i="71"/>
  <c r="L54" i="71"/>
  <c r="F7" i="71"/>
  <c r="D24" i="71"/>
  <c r="E54" i="71"/>
  <c r="B82" i="71"/>
  <c r="D181" i="71"/>
  <c r="E66" i="71"/>
  <c r="E76" i="71"/>
  <c r="B182" i="71"/>
  <c r="C8" i="71"/>
  <c r="E107" i="71"/>
  <c r="E118" i="71"/>
  <c r="G12" i="71"/>
  <c r="C29" i="71"/>
  <c r="B49" i="71"/>
  <c r="H54" i="71"/>
  <c r="B59" i="71"/>
  <c r="G112" i="71"/>
  <c r="I118" i="71" s="1"/>
  <c r="H158" i="71"/>
  <c r="L86" i="71"/>
  <c r="D153" i="71"/>
  <c r="E196" i="71"/>
  <c r="E13" i="71"/>
  <c r="C19" i="71"/>
  <c r="D190" i="70"/>
  <c r="D10" i="70"/>
  <c r="H45" i="70"/>
  <c r="K119" i="70"/>
  <c r="K158" i="70"/>
  <c r="E224" i="70"/>
  <c r="C185" i="70"/>
  <c r="D185" i="70" s="1"/>
  <c r="G45" i="70"/>
  <c r="I45" i="70"/>
  <c r="D119" i="70"/>
  <c r="F190" i="70"/>
  <c r="G239" i="70"/>
  <c r="D180" i="70"/>
  <c r="F119" i="70"/>
  <c r="C148" i="70"/>
  <c r="F158" i="70"/>
  <c r="F180" i="70"/>
  <c r="C203" i="70"/>
  <c r="E40" i="70"/>
  <c r="H158" i="70"/>
  <c r="G180" i="70"/>
  <c r="D233" i="70"/>
  <c r="J239" i="70"/>
  <c r="C190" i="70"/>
  <c r="E9" i="70"/>
  <c r="C234" i="70" s="1"/>
  <c r="H19" i="70"/>
  <c r="C180" i="70"/>
  <c r="C264" i="70"/>
  <c r="D269" i="70"/>
  <c r="B10" i="70"/>
  <c r="D15" i="70"/>
  <c r="C30" i="70"/>
  <c r="H30" i="70" s="1"/>
  <c r="D34" i="70"/>
  <c r="C40" i="70"/>
  <c r="H76" i="70"/>
  <c r="B190" i="70"/>
  <c r="I214" i="70"/>
  <c r="D253" i="70"/>
  <c r="D288" i="70"/>
  <c r="B180" i="70"/>
  <c r="F39" i="70"/>
  <c r="D184" i="70"/>
  <c r="C10" i="70"/>
  <c r="D30" i="70"/>
  <c r="D40" i="70"/>
  <c r="E49" i="70"/>
  <c r="E66" i="70"/>
  <c r="D81" i="70"/>
  <c r="J214" i="70"/>
  <c r="E218" i="70"/>
  <c r="F269" i="70"/>
  <c r="C58" i="70"/>
  <c r="G158" i="70"/>
  <c r="D248" i="70"/>
  <c r="D283" i="70"/>
  <c r="D303" i="70"/>
  <c r="D87" i="70"/>
  <c r="E103" i="70"/>
  <c r="D148" i="70"/>
  <c r="D202" i="70"/>
  <c r="D153" i="70"/>
  <c r="H29" i="70"/>
  <c r="D158" i="70"/>
  <c r="L158" i="70"/>
  <c r="E97" i="70"/>
  <c r="B203" i="70"/>
  <c r="D278" i="70"/>
  <c r="D298" i="70"/>
  <c r="E153" i="70"/>
  <c r="H162" i="70"/>
  <c r="D142" i="70"/>
  <c r="G147" i="70"/>
  <c r="E180" i="70"/>
  <c r="B45" i="70"/>
  <c r="E19" i="68"/>
  <c r="F8" i="68"/>
  <c r="C39" i="68"/>
  <c r="D84" i="68"/>
  <c r="C109" i="68"/>
  <c r="G109" i="68" s="1"/>
  <c r="C128" i="68"/>
  <c r="G8" i="68"/>
  <c r="D34" i="68"/>
  <c r="I34" i="68" s="1"/>
  <c r="I39" i="68"/>
  <c r="F84" i="68"/>
  <c r="C104" i="68"/>
  <c r="F104" i="68" s="1"/>
  <c r="E109" i="68"/>
  <c r="E128" i="68"/>
  <c r="B91" i="68"/>
  <c r="C14" i="68"/>
  <c r="E34" i="68"/>
  <c r="J39" i="68"/>
  <c r="I84" i="68"/>
  <c r="F128" i="68"/>
  <c r="H39" i="68"/>
  <c r="D128" i="68"/>
  <c r="B8" i="68"/>
  <c r="K39" i="68"/>
  <c r="G73" i="68"/>
  <c r="G84" i="68"/>
  <c r="C8" i="68"/>
  <c r="I53" i="68"/>
  <c r="C141" i="68"/>
  <c r="D8" i="68"/>
  <c r="D74" i="68"/>
  <c r="D19" i="68"/>
  <c r="G39" i="68"/>
  <c r="G29" i="68"/>
  <c r="I33" i="68"/>
  <c r="D140" i="68"/>
  <c r="H146" i="68"/>
  <c r="D151" i="68"/>
  <c r="L151" i="68"/>
  <c r="D156" i="68"/>
  <c r="D14" i="68"/>
  <c r="F45" i="68"/>
  <c r="B141" i="68"/>
  <c r="I7" i="68"/>
  <c r="I118" i="68"/>
  <c r="B14" i="68"/>
  <c r="C91" i="68"/>
  <c r="I23" i="68"/>
  <c r="D91" i="68"/>
  <c r="I63" i="68"/>
  <c r="D39" i="68"/>
  <c r="L39" i="68"/>
  <c r="E39" i="68"/>
  <c r="F39" i="68"/>
  <c r="B122" i="67"/>
  <c r="I156" i="67"/>
  <c r="H156" i="67"/>
  <c r="G156" i="67"/>
  <c r="F156" i="67"/>
  <c r="E156" i="67"/>
  <c r="D156" i="67"/>
  <c r="C156" i="67"/>
  <c r="B156" i="67"/>
  <c r="A156" i="67"/>
  <c r="C151" i="67"/>
  <c r="B151" i="67"/>
  <c r="L147" i="67"/>
  <c r="K147" i="67"/>
  <c r="J147" i="67"/>
  <c r="I147" i="67"/>
  <c r="H147" i="67"/>
  <c r="G147" i="67"/>
  <c r="F147" i="67"/>
  <c r="E147" i="67"/>
  <c r="D147" i="67"/>
  <c r="C147" i="67"/>
  <c r="B147" i="67"/>
  <c r="A147" i="67"/>
  <c r="P143" i="67"/>
  <c r="O143" i="67"/>
  <c r="N143" i="67"/>
  <c r="M143" i="67"/>
  <c r="L143" i="67"/>
  <c r="K143" i="67"/>
  <c r="J143" i="67"/>
  <c r="I143" i="67"/>
  <c r="H143" i="67"/>
  <c r="G143" i="67"/>
  <c r="F143" i="67"/>
  <c r="E143" i="67"/>
  <c r="D143" i="67"/>
  <c r="C143" i="67"/>
  <c r="B143" i="67"/>
  <c r="A143" i="67"/>
  <c r="F138" i="67"/>
  <c r="E138" i="67"/>
  <c r="D138" i="67"/>
  <c r="C138" i="67"/>
  <c r="B138" i="67"/>
  <c r="C133" i="67"/>
  <c r="B133" i="67"/>
  <c r="H128" i="67"/>
  <c r="G128" i="67"/>
  <c r="F128" i="67"/>
  <c r="E128" i="67"/>
  <c r="D128" i="67"/>
  <c r="C128" i="67"/>
  <c r="B128" i="67"/>
  <c r="B119" i="67"/>
  <c r="G114" i="67"/>
  <c r="F114" i="67"/>
  <c r="E114" i="67"/>
  <c r="D114" i="67"/>
  <c r="C114" i="67"/>
  <c r="B114" i="67"/>
  <c r="I108" i="67"/>
  <c r="H108" i="67"/>
  <c r="G108" i="67"/>
  <c r="F108" i="67"/>
  <c r="E108" i="67"/>
  <c r="D108" i="67"/>
  <c r="C108" i="67"/>
  <c r="I103" i="67"/>
  <c r="H103" i="67"/>
  <c r="G103" i="67"/>
  <c r="F103" i="67"/>
  <c r="E103" i="67"/>
  <c r="D103" i="67"/>
  <c r="C103" i="67"/>
  <c r="F98" i="67"/>
  <c r="E98" i="67"/>
  <c r="D98" i="67"/>
  <c r="C98" i="67"/>
  <c r="C93" i="67"/>
  <c r="B93" i="67"/>
  <c r="G87" i="67"/>
  <c r="F87" i="67"/>
  <c r="E87" i="67"/>
  <c r="D87" i="67"/>
  <c r="C87" i="67"/>
  <c r="H82" i="67"/>
  <c r="G82" i="67"/>
  <c r="F82" i="67"/>
  <c r="E82" i="67"/>
  <c r="D82" i="67"/>
  <c r="C82" i="67"/>
  <c r="I77" i="67"/>
  <c r="H77" i="67"/>
  <c r="G77" i="67"/>
  <c r="F77" i="67"/>
  <c r="E77" i="67"/>
  <c r="D77" i="67"/>
  <c r="C77" i="67"/>
  <c r="B77" i="67"/>
  <c r="G71" i="67"/>
  <c r="F71" i="67"/>
  <c r="E71" i="67"/>
  <c r="D71" i="67"/>
  <c r="C71" i="67"/>
  <c r="H66" i="67"/>
  <c r="G66" i="67"/>
  <c r="F66" i="67"/>
  <c r="E66" i="67"/>
  <c r="D66" i="67"/>
  <c r="C66" i="67"/>
  <c r="I61" i="67"/>
  <c r="H61" i="67"/>
  <c r="G61" i="67"/>
  <c r="F61" i="67"/>
  <c r="E61" i="67"/>
  <c r="D61" i="67"/>
  <c r="C61" i="67"/>
  <c r="B61" i="67"/>
  <c r="L55" i="67"/>
  <c r="K55" i="67"/>
  <c r="J55" i="67"/>
  <c r="I55" i="67"/>
  <c r="H55" i="67"/>
  <c r="G55" i="67"/>
  <c r="F55" i="67"/>
  <c r="E55" i="67"/>
  <c r="D55" i="67"/>
  <c r="C55" i="67"/>
  <c r="B55" i="67"/>
  <c r="C50" i="67"/>
  <c r="B50" i="67"/>
  <c r="K45" i="67"/>
  <c r="J45" i="67"/>
  <c r="I45" i="67"/>
  <c r="H45" i="67"/>
  <c r="G45" i="67"/>
  <c r="F45" i="67"/>
  <c r="E45" i="67"/>
  <c r="D45" i="67"/>
  <c r="C45" i="67"/>
  <c r="M40" i="67"/>
  <c r="L40" i="67"/>
  <c r="K40" i="67"/>
  <c r="J40" i="67"/>
  <c r="I40" i="67"/>
  <c r="H40" i="67"/>
  <c r="G40" i="67"/>
  <c r="F40" i="67"/>
  <c r="E40" i="67"/>
  <c r="D40" i="67"/>
  <c r="C40" i="67"/>
  <c r="F35" i="67"/>
  <c r="E35" i="67"/>
  <c r="D35" i="67"/>
  <c r="C35" i="67"/>
  <c r="C30" i="67"/>
  <c r="B30" i="67"/>
  <c r="A26" i="67"/>
  <c r="I22" i="67"/>
  <c r="H22" i="67"/>
  <c r="G22" i="67"/>
  <c r="F22" i="67"/>
  <c r="E22" i="67"/>
  <c r="D22" i="67"/>
  <c r="C22" i="67"/>
  <c r="B22" i="67"/>
  <c r="D17" i="67"/>
  <c r="C17" i="67"/>
  <c r="C12" i="67"/>
  <c r="B12" i="67"/>
  <c r="D8" i="67"/>
  <c r="D7" i="67"/>
  <c r="C7" i="67"/>
  <c r="B7" i="67"/>
  <c r="B3" i="67"/>
  <c r="C152" i="67" s="1"/>
  <c r="D93" i="67"/>
  <c r="A157" i="66"/>
  <c r="L208" i="66"/>
  <c r="K208" i="66"/>
  <c r="J208" i="66"/>
  <c r="I208" i="66"/>
  <c r="H208" i="66"/>
  <c r="G208" i="66"/>
  <c r="F208" i="66"/>
  <c r="E208" i="66"/>
  <c r="D208" i="66"/>
  <c r="C208" i="66"/>
  <c r="B208" i="66"/>
  <c r="A208" i="66"/>
  <c r="H202" i="66"/>
  <c r="G202" i="66"/>
  <c r="F202" i="66"/>
  <c r="E202" i="66"/>
  <c r="D202" i="66"/>
  <c r="D197" i="66"/>
  <c r="C197" i="66"/>
  <c r="N192" i="66"/>
  <c r="M192" i="66"/>
  <c r="L192" i="66"/>
  <c r="K192" i="66"/>
  <c r="J192" i="66"/>
  <c r="I192" i="66"/>
  <c r="H192" i="66"/>
  <c r="G192" i="66"/>
  <c r="F192" i="66"/>
  <c r="E192" i="66"/>
  <c r="D192" i="66"/>
  <c r="C192" i="66"/>
  <c r="I187" i="66"/>
  <c r="H187" i="66"/>
  <c r="G187" i="66"/>
  <c r="F187" i="66"/>
  <c r="E187" i="66"/>
  <c r="D187" i="66"/>
  <c r="C187" i="66"/>
  <c r="C182" i="66"/>
  <c r="B182" i="66"/>
  <c r="M178" i="66"/>
  <c r="L178" i="66"/>
  <c r="K178" i="66"/>
  <c r="J178" i="66"/>
  <c r="I178" i="66"/>
  <c r="H178" i="66"/>
  <c r="G178" i="66"/>
  <c r="F178" i="66"/>
  <c r="E178" i="66"/>
  <c r="D178" i="66"/>
  <c r="C178" i="66"/>
  <c r="B178" i="66"/>
  <c r="A178" i="66"/>
  <c r="J173" i="66"/>
  <c r="I173" i="66"/>
  <c r="H173" i="66"/>
  <c r="G173" i="66"/>
  <c r="F173" i="66"/>
  <c r="E173" i="66"/>
  <c r="D173" i="66"/>
  <c r="C173" i="66"/>
  <c r="B173" i="66"/>
  <c r="A173" i="66"/>
  <c r="F168" i="66"/>
  <c r="E168" i="66"/>
  <c r="D168" i="66"/>
  <c r="C168" i="66"/>
  <c r="B168" i="66"/>
  <c r="F164" i="66"/>
  <c r="E164" i="66"/>
  <c r="D164" i="66"/>
  <c r="C164" i="66"/>
  <c r="B164" i="66"/>
  <c r="A164" i="66"/>
  <c r="G158" i="66"/>
  <c r="F158" i="66"/>
  <c r="C153" i="66"/>
  <c r="B153" i="66"/>
  <c r="D148" i="66"/>
  <c r="C148" i="66"/>
  <c r="B148" i="66"/>
  <c r="D141" i="66"/>
  <c r="C141" i="66"/>
  <c r="B141" i="66"/>
  <c r="D136" i="66"/>
  <c r="C136" i="66"/>
  <c r="B136" i="66"/>
  <c r="A132" i="66"/>
  <c r="A129" i="66"/>
  <c r="A126" i="66"/>
  <c r="J122" i="66"/>
  <c r="I122" i="66"/>
  <c r="H122" i="66"/>
  <c r="G122" i="66"/>
  <c r="F122" i="66"/>
  <c r="E122" i="66"/>
  <c r="D122" i="66"/>
  <c r="C122" i="66"/>
  <c r="I117" i="66"/>
  <c r="H117" i="66"/>
  <c r="G117" i="66"/>
  <c r="F117" i="66"/>
  <c r="E117" i="66"/>
  <c r="D117" i="66"/>
  <c r="C117" i="66"/>
  <c r="F112" i="66"/>
  <c r="E112" i="66"/>
  <c r="D112" i="66"/>
  <c r="C112" i="66"/>
  <c r="D107" i="66"/>
  <c r="C107" i="66"/>
  <c r="B107" i="66"/>
  <c r="A103" i="66"/>
  <c r="A101" i="66"/>
  <c r="E96" i="66"/>
  <c r="A96" i="66"/>
  <c r="E91" i="66"/>
  <c r="A91" i="66"/>
  <c r="K86" i="66"/>
  <c r="J86" i="66"/>
  <c r="I86" i="66"/>
  <c r="H86" i="66"/>
  <c r="G86" i="66"/>
  <c r="F86" i="66"/>
  <c r="E86" i="66"/>
  <c r="D86" i="66"/>
  <c r="C86" i="66"/>
  <c r="C81" i="66"/>
  <c r="B81" i="66"/>
  <c r="D76" i="66"/>
  <c r="C76" i="66"/>
  <c r="C72" i="66"/>
  <c r="C70" i="66"/>
  <c r="D66" i="66"/>
  <c r="C66" i="66"/>
  <c r="B62" i="66"/>
  <c r="C58" i="66"/>
  <c r="B58" i="66"/>
  <c r="L53" i="66"/>
  <c r="K53" i="66"/>
  <c r="J53" i="66"/>
  <c r="I53" i="66"/>
  <c r="H53" i="66"/>
  <c r="G53" i="66"/>
  <c r="F53" i="66"/>
  <c r="E53" i="66"/>
  <c r="D53" i="66"/>
  <c r="C53" i="66"/>
  <c r="B53" i="66"/>
  <c r="H48" i="66"/>
  <c r="G48" i="66"/>
  <c r="F48" i="66"/>
  <c r="E48" i="66"/>
  <c r="D48" i="66"/>
  <c r="C48" i="66"/>
  <c r="B48" i="66"/>
  <c r="G43" i="66"/>
  <c r="F43" i="66"/>
  <c r="E43" i="66"/>
  <c r="D43" i="66"/>
  <c r="C43" i="66"/>
  <c r="J38" i="66"/>
  <c r="I38" i="66"/>
  <c r="H38" i="66"/>
  <c r="G38" i="66"/>
  <c r="F38" i="66"/>
  <c r="E38" i="66"/>
  <c r="D38" i="66"/>
  <c r="C38" i="66"/>
  <c r="G33" i="66"/>
  <c r="F33" i="66"/>
  <c r="E33" i="66"/>
  <c r="D33" i="66"/>
  <c r="C33" i="66"/>
  <c r="K28" i="66"/>
  <c r="J28" i="66"/>
  <c r="I28" i="66"/>
  <c r="H28" i="66"/>
  <c r="G28" i="66"/>
  <c r="F28" i="66"/>
  <c r="E28" i="66"/>
  <c r="D28" i="66"/>
  <c r="C28" i="66"/>
  <c r="D23" i="66"/>
  <c r="C23" i="66"/>
  <c r="B23" i="66"/>
  <c r="D18" i="66"/>
  <c r="C18" i="66"/>
  <c r="B18" i="66"/>
  <c r="F12" i="66"/>
  <c r="E12" i="66"/>
  <c r="D12" i="66"/>
  <c r="C12" i="66"/>
  <c r="B12" i="66"/>
  <c r="E7" i="66"/>
  <c r="D7" i="66"/>
  <c r="C7" i="66"/>
  <c r="B7" i="66"/>
  <c r="B3" i="66"/>
  <c r="K54" i="66" s="1"/>
  <c r="C303" i="65"/>
  <c r="B303" i="65"/>
  <c r="C298" i="65"/>
  <c r="B298" i="65"/>
  <c r="C293" i="65"/>
  <c r="B293" i="65"/>
  <c r="C288" i="65"/>
  <c r="B288" i="65"/>
  <c r="C283" i="65"/>
  <c r="B283" i="65"/>
  <c r="C278" i="65"/>
  <c r="B278" i="65"/>
  <c r="C273" i="65"/>
  <c r="B273" i="65"/>
  <c r="H268" i="65"/>
  <c r="G268" i="65"/>
  <c r="F268" i="65"/>
  <c r="E268" i="65"/>
  <c r="D268" i="65"/>
  <c r="D263" i="65"/>
  <c r="C263" i="65"/>
  <c r="J258" i="65"/>
  <c r="I258" i="65"/>
  <c r="H258" i="65"/>
  <c r="G258" i="65"/>
  <c r="F258" i="65"/>
  <c r="E258" i="65"/>
  <c r="D258" i="65"/>
  <c r="C258" i="65"/>
  <c r="C253" i="65"/>
  <c r="B253" i="65"/>
  <c r="C248" i="65"/>
  <c r="B248" i="65"/>
  <c r="C243" i="65"/>
  <c r="B243" i="65"/>
  <c r="J238" i="65"/>
  <c r="I238" i="65"/>
  <c r="H238" i="65"/>
  <c r="G238" i="65"/>
  <c r="F238" i="65"/>
  <c r="E238" i="65"/>
  <c r="D238" i="65"/>
  <c r="C238" i="65"/>
  <c r="C233" i="65"/>
  <c r="B233" i="65"/>
  <c r="M228" i="65"/>
  <c r="L228" i="65"/>
  <c r="K228" i="65"/>
  <c r="J228" i="65"/>
  <c r="I228" i="65"/>
  <c r="H228" i="65"/>
  <c r="G228" i="65"/>
  <c r="F228" i="65"/>
  <c r="E228" i="65"/>
  <c r="D228" i="65"/>
  <c r="C228" i="65"/>
  <c r="B228" i="65"/>
  <c r="A228" i="65"/>
  <c r="H223" i="65"/>
  <c r="G223" i="65"/>
  <c r="F223" i="65"/>
  <c r="E223" i="65"/>
  <c r="D223" i="65"/>
  <c r="D218" i="65"/>
  <c r="C218" i="65"/>
  <c r="O213" i="65"/>
  <c r="N213" i="65"/>
  <c r="M213" i="65"/>
  <c r="L213" i="65"/>
  <c r="K213" i="65"/>
  <c r="J213" i="65"/>
  <c r="I213" i="65"/>
  <c r="H213" i="65"/>
  <c r="G213" i="65"/>
  <c r="F213" i="65"/>
  <c r="E213" i="65"/>
  <c r="D213" i="65"/>
  <c r="C213" i="65"/>
  <c r="I207" i="65"/>
  <c r="H207" i="65"/>
  <c r="G207" i="65"/>
  <c r="F207" i="65"/>
  <c r="E207" i="65"/>
  <c r="D207" i="65"/>
  <c r="C207" i="65"/>
  <c r="C202" i="65"/>
  <c r="B202" i="65"/>
  <c r="L198" i="65"/>
  <c r="K198" i="65"/>
  <c r="J198" i="65"/>
  <c r="I198" i="65"/>
  <c r="H198" i="65"/>
  <c r="G198" i="65"/>
  <c r="F198" i="65"/>
  <c r="E198" i="65"/>
  <c r="D198" i="65"/>
  <c r="C198" i="65"/>
  <c r="B198" i="65"/>
  <c r="A198" i="65"/>
  <c r="P194" i="65"/>
  <c r="O194" i="65"/>
  <c r="N194" i="65"/>
  <c r="M194" i="65"/>
  <c r="L194" i="65"/>
  <c r="K194" i="65"/>
  <c r="J194" i="65"/>
  <c r="I194" i="65"/>
  <c r="H194" i="65"/>
  <c r="G194" i="65"/>
  <c r="F194" i="65"/>
  <c r="E194" i="65"/>
  <c r="D194" i="65"/>
  <c r="C194" i="65"/>
  <c r="B194" i="65"/>
  <c r="A194" i="65"/>
  <c r="F189" i="65"/>
  <c r="E189" i="65"/>
  <c r="D189" i="65"/>
  <c r="C189" i="65"/>
  <c r="B189" i="65"/>
  <c r="C184" i="65"/>
  <c r="B184" i="65"/>
  <c r="G179" i="65"/>
  <c r="F179" i="65"/>
  <c r="E179" i="65"/>
  <c r="D179" i="65"/>
  <c r="C179" i="65"/>
  <c r="B179" i="65"/>
  <c r="E173" i="65"/>
  <c r="E172" i="65"/>
  <c r="E171" i="65"/>
  <c r="E170" i="65"/>
  <c r="E169" i="65"/>
  <c r="E168" i="65"/>
  <c r="E167" i="65"/>
  <c r="E166" i="65"/>
  <c r="G162" i="65"/>
  <c r="F162" i="65"/>
  <c r="E162" i="65"/>
  <c r="D162" i="65"/>
  <c r="C162" i="65"/>
  <c r="B162" i="65"/>
  <c r="M157" i="65"/>
  <c r="L157" i="65"/>
  <c r="K157" i="65"/>
  <c r="J157" i="65"/>
  <c r="I157" i="65"/>
  <c r="H157" i="65"/>
  <c r="G157" i="65"/>
  <c r="F157" i="65"/>
  <c r="E157" i="65"/>
  <c r="D157" i="65"/>
  <c r="J152" i="65"/>
  <c r="I152" i="65"/>
  <c r="H152" i="65"/>
  <c r="G152" i="65"/>
  <c r="F152" i="65"/>
  <c r="E152" i="65"/>
  <c r="D152" i="65"/>
  <c r="F147" i="65"/>
  <c r="E147" i="65"/>
  <c r="D147" i="65"/>
  <c r="C147" i="65"/>
  <c r="C142" i="65"/>
  <c r="B142" i="65"/>
  <c r="E138" i="65"/>
  <c r="F134" i="65"/>
  <c r="E134" i="65"/>
  <c r="D134" i="65"/>
  <c r="C134" i="65"/>
  <c r="B134" i="65"/>
  <c r="C129" i="65"/>
  <c r="B129" i="65"/>
  <c r="G123" i="65"/>
  <c r="F123" i="65"/>
  <c r="E123" i="65"/>
  <c r="D123" i="65"/>
  <c r="C123" i="65"/>
  <c r="B123" i="65"/>
  <c r="K118" i="65"/>
  <c r="J118" i="65"/>
  <c r="I118" i="65"/>
  <c r="H118" i="65"/>
  <c r="G118" i="65"/>
  <c r="F118" i="65"/>
  <c r="E118" i="65"/>
  <c r="D118" i="65"/>
  <c r="K113" i="65"/>
  <c r="J113" i="65"/>
  <c r="I113" i="65"/>
  <c r="H113" i="65"/>
  <c r="G113" i="65"/>
  <c r="F113" i="65"/>
  <c r="E113" i="65"/>
  <c r="D113" i="65"/>
  <c r="G108" i="65"/>
  <c r="F108" i="65"/>
  <c r="E108" i="65"/>
  <c r="D108" i="65"/>
  <c r="D103" i="65"/>
  <c r="C103" i="65"/>
  <c r="D97" i="65"/>
  <c r="C97" i="65"/>
  <c r="B97" i="65"/>
  <c r="N92" i="65"/>
  <c r="M92" i="65"/>
  <c r="L92" i="65"/>
  <c r="K92" i="65"/>
  <c r="J92" i="65"/>
  <c r="I92" i="65"/>
  <c r="H92" i="65"/>
  <c r="G92" i="65"/>
  <c r="F92" i="65"/>
  <c r="E92" i="65"/>
  <c r="D92" i="65"/>
  <c r="C92" i="65"/>
  <c r="B92" i="65"/>
  <c r="F86" i="65"/>
  <c r="E86" i="65"/>
  <c r="D86" i="65"/>
  <c r="C86" i="65"/>
  <c r="C81" i="65"/>
  <c r="B81" i="65"/>
  <c r="G76" i="65"/>
  <c r="F76" i="65"/>
  <c r="E76" i="65"/>
  <c r="D76" i="65"/>
  <c r="C76" i="65"/>
  <c r="C71" i="65"/>
  <c r="B71" i="65"/>
  <c r="D66" i="65"/>
  <c r="C66" i="65"/>
  <c r="E62" i="65"/>
  <c r="E60" i="65"/>
  <c r="D57" i="65"/>
  <c r="C57" i="65"/>
  <c r="B53" i="65"/>
  <c r="D49" i="65"/>
  <c r="C49" i="65"/>
  <c r="B49" i="65"/>
  <c r="J44" i="65"/>
  <c r="I44" i="65"/>
  <c r="H44" i="65"/>
  <c r="G44" i="65"/>
  <c r="F44" i="65"/>
  <c r="E44" i="65"/>
  <c r="D44" i="65"/>
  <c r="C44" i="65"/>
  <c r="B44" i="65"/>
  <c r="E39" i="65"/>
  <c r="D39" i="65"/>
  <c r="C39" i="65"/>
  <c r="C34" i="65"/>
  <c r="B34" i="65"/>
  <c r="G29" i="65"/>
  <c r="F29" i="65"/>
  <c r="E29" i="65"/>
  <c r="D29" i="65"/>
  <c r="C29" i="65"/>
  <c r="L24" i="65"/>
  <c r="L25" i="65" s="1"/>
  <c r="K24" i="65"/>
  <c r="K25" i="65" s="1"/>
  <c r="J24" i="65"/>
  <c r="J25" i="65" s="1"/>
  <c r="I24" i="65"/>
  <c r="I25" i="65" s="1"/>
  <c r="H24" i="65"/>
  <c r="H25" i="65" s="1"/>
  <c r="G24" i="65"/>
  <c r="G25" i="65" s="1"/>
  <c r="F24" i="65"/>
  <c r="F25" i="65" s="1"/>
  <c r="E24" i="65"/>
  <c r="E25" i="65" s="1"/>
  <c r="D24" i="65"/>
  <c r="D25" i="65" s="1"/>
  <c r="C24" i="65"/>
  <c r="C25" i="65" s="1"/>
  <c r="G19" i="65"/>
  <c r="G20" i="65" s="1"/>
  <c r="F19" i="65"/>
  <c r="F20" i="65" s="1"/>
  <c r="E19" i="65"/>
  <c r="E20" i="65" s="1"/>
  <c r="D19" i="65"/>
  <c r="D20" i="65" s="1"/>
  <c r="C19" i="65"/>
  <c r="C20" i="65" s="1"/>
  <c r="H20" i="65" s="1"/>
  <c r="M14" i="65"/>
  <c r="L14" i="65"/>
  <c r="K14" i="65"/>
  <c r="J14" i="65"/>
  <c r="I14" i="65"/>
  <c r="H14" i="65"/>
  <c r="G14" i="65"/>
  <c r="F14" i="65"/>
  <c r="E14" i="65"/>
  <c r="D14" i="65"/>
  <c r="C14" i="65"/>
  <c r="D9" i="65"/>
  <c r="C9" i="65"/>
  <c r="B9" i="65"/>
  <c r="C4" i="65"/>
  <c r="F180" i="65" s="1"/>
  <c r="C3" i="65"/>
  <c r="I239" i="65"/>
  <c r="M167" i="64"/>
  <c r="L167" i="64"/>
  <c r="K167" i="64"/>
  <c r="J167" i="64"/>
  <c r="I167" i="64"/>
  <c r="H167" i="64"/>
  <c r="G167" i="64"/>
  <c r="F167" i="64"/>
  <c r="E167" i="64"/>
  <c r="D167" i="64"/>
  <c r="C167" i="64"/>
  <c r="B167" i="64"/>
  <c r="A167" i="64"/>
  <c r="H160" i="64"/>
  <c r="G160" i="64"/>
  <c r="F160" i="64"/>
  <c r="E160" i="64"/>
  <c r="D160" i="64"/>
  <c r="D155" i="64"/>
  <c r="C155" i="64"/>
  <c r="O150" i="64"/>
  <c r="N150" i="64"/>
  <c r="M150" i="64"/>
  <c r="L150" i="64"/>
  <c r="K150" i="64"/>
  <c r="J150" i="64"/>
  <c r="I150" i="64"/>
  <c r="H150" i="64"/>
  <c r="G150" i="64"/>
  <c r="F150" i="64"/>
  <c r="E150" i="64"/>
  <c r="D150" i="64"/>
  <c r="C150" i="64"/>
  <c r="I145" i="64"/>
  <c r="H145" i="64"/>
  <c r="G145" i="64"/>
  <c r="F145" i="64"/>
  <c r="E145" i="64"/>
  <c r="D145" i="64"/>
  <c r="C145" i="64"/>
  <c r="C140" i="64"/>
  <c r="B140" i="64"/>
  <c r="L136" i="64"/>
  <c r="K136" i="64"/>
  <c r="J136" i="64"/>
  <c r="I136" i="64"/>
  <c r="H136" i="64"/>
  <c r="G136" i="64"/>
  <c r="F136" i="64"/>
  <c r="E136" i="64"/>
  <c r="D136" i="64"/>
  <c r="C136" i="64"/>
  <c r="B136" i="64"/>
  <c r="A136" i="64"/>
  <c r="L132" i="64"/>
  <c r="K132" i="64"/>
  <c r="J132" i="64"/>
  <c r="I132" i="64"/>
  <c r="H132" i="64"/>
  <c r="G132" i="64"/>
  <c r="F132" i="64"/>
  <c r="E132" i="64"/>
  <c r="D132" i="64"/>
  <c r="C132" i="64"/>
  <c r="B132" i="64"/>
  <c r="A132" i="64"/>
  <c r="F127" i="64"/>
  <c r="E127" i="64"/>
  <c r="D127" i="64"/>
  <c r="C127" i="64"/>
  <c r="B127" i="64"/>
  <c r="D122" i="64"/>
  <c r="C122" i="64"/>
  <c r="B122" i="64"/>
  <c r="I117" i="64"/>
  <c r="H117" i="64"/>
  <c r="G117" i="64"/>
  <c r="F117" i="64"/>
  <c r="E117" i="64"/>
  <c r="D117" i="64"/>
  <c r="C117" i="64"/>
  <c r="B117" i="64"/>
  <c r="G113" i="64"/>
  <c r="F113" i="64"/>
  <c r="E113" i="64"/>
  <c r="D113" i="64"/>
  <c r="C113" i="64"/>
  <c r="B113" i="64"/>
  <c r="F108" i="64"/>
  <c r="E108" i="64"/>
  <c r="D108" i="64"/>
  <c r="C108" i="64"/>
  <c r="E103" i="64"/>
  <c r="D103" i="64"/>
  <c r="C103" i="64"/>
  <c r="B99" i="64"/>
  <c r="C95" i="64"/>
  <c r="B95" i="64"/>
  <c r="D90" i="64"/>
  <c r="C90" i="64"/>
  <c r="B90" i="64"/>
  <c r="I83" i="64"/>
  <c r="H83" i="64"/>
  <c r="G83" i="64"/>
  <c r="F83" i="64"/>
  <c r="E83" i="64"/>
  <c r="D83" i="64"/>
  <c r="C83" i="64"/>
  <c r="J78" i="64"/>
  <c r="I78" i="64"/>
  <c r="H78" i="64"/>
  <c r="G78" i="64"/>
  <c r="F78" i="64"/>
  <c r="E78" i="64"/>
  <c r="D78" i="64"/>
  <c r="C78" i="64"/>
  <c r="F73" i="64"/>
  <c r="E73" i="64"/>
  <c r="D73" i="64"/>
  <c r="C73" i="64"/>
  <c r="C68" i="64"/>
  <c r="B68" i="64"/>
  <c r="H63" i="64"/>
  <c r="G63" i="64"/>
  <c r="F63" i="64"/>
  <c r="E63" i="64"/>
  <c r="D63" i="64"/>
  <c r="C63" i="64"/>
  <c r="B63" i="64"/>
  <c r="F58" i="64"/>
  <c r="E58" i="64"/>
  <c r="D58" i="64"/>
  <c r="C58" i="64"/>
  <c r="B58" i="64"/>
  <c r="H53" i="64"/>
  <c r="G53" i="64"/>
  <c r="F53" i="64"/>
  <c r="E53" i="64"/>
  <c r="D53" i="64"/>
  <c r="C53" i="64"/>
  <c r="B53" i="64"/>
  <c r="A49" i="64"/>
  <c r="E45" i="64"/>
  <c r="D45" i="64"/>
  <c r="C45" i="64"/>
  <c r="B45" i="64"/>
  <c r="L38" i="64"/>
  <c r="K38" i="64"/>
  <c r="J38" i="64"/>
  <c r="I38" i="64"/>
  <c r="H38" i="64"/>
  <c r="G38" i="64"/>
  <c r="F38" i="64"/>
  <c r="E38" i="64"/>
  <c r="D38" i="64"/>
  <c r="C38" i="64"/>
  <c r="B38" i="64"/>
  <c r="H33" i="64"/>
  <c r="G33" i="64"/>
  <c r="F33" i="64"/>
  <c r="E33" i="64"/>
  <c r="D33" i="64"/>
  <c r="I28" i="64"/>
  <c r="H28" i="64"/>
  <c r="G28" i="64"/>
  <c r="F28" i="64"/>
  <c r="E28" i="64"/>
  <c r="D28" i="64"/>
  <c r="H23" i="64"/>
  <c r="G23" i="64"/>
  <c r="F23" i="64"/>
  <c r="E23" i="64"/>
  <c r="D23" i="64"/>
  <c r="F18" i="64"/>
  <c r="E18" i="64"/>
  <c r="D18" i="64"/>
  <c r="D13" i="64"/>
  <c r="C13" i="64"/>
  <c r="B13" i="64"/>
  <c r="H7" i="64"/>
  <c r="G7" i="64"/>
  <c r="F7" i="64"/>
  <c r="E7" i="64"/>
  <c r="D7" i="64"/>
  <c r="C7" i="64"/>
  <c r="B7" i="64"/>
  <c r="B3" i="64"/>
  <c r="E39" i="64" s="1"/>
  <c r="M167" i="62"/>
  <c r="L167" i="62"/>
  <c r="K167" i="62"/>
  <c r="J167" i="62"/>
  <c r="I167" i="62"/>
  <c r="H167" i="62"/>
  <c r="G167" i="62"/>
  <c r="F167" i="62"/>
  <c r="E167" i="62"/>
  <c r="D167" i="62"/>
  <c r="C167" i="62"/>
  <c r="B167" i="62"/>
  <c r="A167" i="62"/>
  <c r="H160" i="62"/>
  <c r="G160" i="62"/>
  <c r="F160" i="62"/>
  <c r="E160" i="62"/>
  <c r="D160" i="62"/>
  <c r="D155" i="62"/>
  <c r="C155" i="62"/>
  <c r="O150" i="62"/>
  <c r="N150" i="62"/>
  <c r="M150" i="62"/>
  <c r="L150" i="62"/>
  <c r="K150" i="62"/>
  <c r="J150" i="62"/>
  <c r="I150" i="62"/>
  <c r="H150" i="62"/>
  <c r="G150" i="62"/>
  <c r="F150" i="62"/>
  <c r="E150" i="62"/>
  <c r="D150" i="62"/>
  <c r="C150" i="62"/>
  <c r="I145" i="62"/>
  <c r="H145" i="62"/>
  <c r="G145" i="62"/>
  <c r="F145" i="62"/>
  <c r="E145" i="62"/>
  <c r="D145" i="62"/>
  <c r="C145" i="62"/>
  <c r="C140" i="62"/>
  <c r="B140" i="62"/>
  <c r="O151" i="62" s="1"/>
  <c r="L136" i="62"/>
  <c r="K136" i="62"/>
  <c r="J136" i="62"/>
  <c r="I136" i="62"/>
  <c r="H136" i="62"/>
  <c r="G136" i="62"/>
  <c r="F136" i="62"/>
  <c r="E136" i="62"/>
  <c r="D136" i="62"/>
  <c r="C136" i="62"/>
  <c r="B136" i="62"/>
  <c r="A136" i="62"/>
  <c r="L132" i="62"/>
  <c r="K132" i="62"/>
  <c r="J132" i="62"/>
  <c r="I132" i="62"/>
  <c r="H132" i="62"/>
  <c r="G132" i="62"/>
  <c r="F132" i="62"/>
  <c r="E132" i="62"/>
  <c r="D132" i="62"/>
  <c r="C132" i="62"/>
  <c r="B132" i="62"/>
  <c r="A132" i="62"/>
  <c r="F127" i="62"/>
  <c r="E127" i="62"/>
  <c r="D127" i="62"/>
  <c r="C127" i="62"/>
  <c r="B127" i="62"/>
  <c r="D122" i="62"/>
  <c r="C122" i="62"/>
  <c r="B122" i="62"/>
  <c r="I117" i="62"/>
  <c r="H117" i="62"/>
  <c r="G117" i="62"/>
  <c r="F117" i="62"/>
  <c r="E117" i="62"/>
  <c r="D117" i="62"/>
  <c r="C117" i="62"/>
  <c r="B117" i="62"/>
  <c r="G113" i="62"/>
  <c r="F113" i="62"/>
  <c r="E113" i="62"/>
  <c r="D113" i="62"/>
  <c r="C113" i="62"/>
  <c r="B113" i="62"/>
  <c r="F108" i="62"/>
  <c r="E108" i="62"/>
  <c r="E109" i="62" s="1"/>
  <c r="D108" i="62"/>
  <c r="C108" i="62"/>
  <c r="E103" i="62"/>
  <c r="D103" i="62"/>
  <c r="C103" i="62"/>
  <c r="B99" i="62"/>
  <c r="C95" i="62"/>
  <c r="B95" i="62"/>
  <c r="G118" i="62" s="1"/>
  <c r="D90" i="62"/>
  <c r="C90" i="62"/>
  <c r="B90" i="62"/>
  <c r="I83" i="62"/>
  <c r="H83" i="62"/>
  <c r="G83" i="62"/>
  <c r="F83" i="62"/>
  <c r="E83" i="62"/>
  <c r="D83" i="62"/>
  <c r="C83" i="62"/>
  <c r="J78" i="62"/>
  <c r="I78" i="62"/>
  <c r="H78" i="62"/>
  <c r="G78" i="62"/>
  <c r="F78" i="62"/>
  <c r="E78" i="62"/>
  <c r="E79" i="62" s="1"/>
  <c r="D78" i="62"/>
  <c r="C78" i="62"/>
  <c r="F73" i="62"/>
  <c r="E73" i="62"/>
  <c r="D73" i="62"/>
  <c r="C73" i="62"/>
  <c r="C68" i="62"/>
  <c r="B68" i="62"/>
  <c r="D74" i="62" s="1"/>
  <c r="H63" i="62"/>
  <c r="G63" i="62"/>
  <c r="F63" i="62"/>
  <c r="E63" i="62"/>
  <c r="D63" i="62"/>
  <c r="C63" i="62"/>
  <c r="B63" i="62"/>
  <c r="F58" i="62"/>
  <c r="E58" i="62"/>
  <c r="D58" i="62"/>
  <c r="C58" i="62"/>
  <c r="B58" i="62"/>
  <c r="H53" i="62"/>
  <c r="G53" i="62"/>
  <c r="F53" i="62"/>
  <c r="E53" i="62"/>
  <c r="D53" i="62"/>
  <c r="C53" i="62"/>
  <c r="B53" i="62"/>
  <c r="A49" i="62"/>
  <c r="E45" i="62"/>
  <c r="D45" i="62"/>
  <c r="C45" i="62"/>
  <c r="B45" i="62"/>
  <c r="F45" i="62" s="1"/>
  <c r="L38" i="62"/>
  <c r="K38" i="62"/>
  <c r="J38" i="62"/>
  <c r="I38" i="62"/>
  <c r="H38" i="62"/>
  <c r="G38" i="62"/>
  <c r="F38" i="62"/>
  <c r="E38" i="62"/>
  <c r="D38" i="62"/>
  <c r="C38" i="62"/>
  <c r="B38" i="62"/>
  <c r="H33" i="62"/>
  <c r="G33" i="62"/>
  <c r="F33" i="62"/>
  <c r="E33" i="62"/>
  <c r="D33" i="62"/>
  <c r="I28" i="62"/>
  <c r="H28" i="62"/>
  <c r="G28" i="62"/>
  <c r="F28" i="62"/>
  <c r="E28" i="62"/>
  <c r="D28" i="62"/>
  <c r="H23" i="62"/>
  <c r="G23" i="62"/>
  <c r="F23" i="62"/>
  <c r="E23" i="62"/>
  <c r="D23" i="62"/>
  <c r="F18" i="62"/>
  <c r="E18" i="62"/>
  <c r="D18" i="62"/>
  <c r="D13" i="62"/>
  <c r="C13" i="62"/>
  <c r="H34" i="62" s="1"/>
  <c r="B13" i="62"/>
  <c r="H7" i="62"/>
  <c r="G7" i="62"/>
  <c r="F7" i="62"/>
  <c r="E7" i="62"/>
  <c r="D7" i="62"/>
  <c r="C7" i="62"/>
  <c r="B7" i="62"/>
  <c r="B3" i="62"/>
  <c r="C128" i="62" s="1"/>
  <c r="I84" i="62"/>
  <c r="H84" i="62"/>
  <c r="C84" i="62"/>
  <c r="J79" i="62"/>
  <c r="I79" i="62"/>
  <c r="H79" i="62"/>
  <c r="C79" i="62"/>
  <c r="H24" i="62"/>
  <c r="I156" i="57"/>
  <c r="H156" i="57"/>
  <c r="G156" i="57"/>
  <c r="F156" i="57"/>
  <c r="E156" i="57"/>
  <c r="D156" i="57"/>
  <c r="C156" i="57"/>
  <c r="B156" i="57"/>
  <c r="A156" i="57"/>
  <c r="C151" i="57"/>
  <c r="B151" i="57"/>
  <c r="L147" i="57"/>
  <c r="K147" i="57"/>
  <c r="J147" i="57"/>
  <c r="I147" i="57"/>
  <c r="H147" i="57"/>
  <c r="G147" i="57"/>
  <c r="F147" i="57"/>
  <c r="E147" i="57"/>
  <c r="D147" i="57"/>
  <c r="C147" i="57"/>
  <c r="B147" i="57"/>
  <c r="A147" i="57"/>
  <c r="P143" i="57"/>
  <c r="O143" i="57"/>
  <c r="N143" i="57"/>
  <c r="M143" i="57"/>
  <c r="L143" i="57"/>
  <c r="K143" i="57"/>
  <c r="J143" i="57"/>
  <c r="I143" i="57"/>
  <c r="H143" i="57"/>
  <c r="G143" i="57"/>
  <c r="F143" i="57"/>
  <c r="E143" i="57"/>
  <c r="D143" i="57"/>
  <c r="C143" i="57"/>
  <c r="B143" i="57"/>
  <c r="A143" i="57"/>
  <c r="F138" i="57"/>
  <c r="E138" i="57"/>
  <c r="D138" i="57"/>
  <c r="C138" i="57"/>
  <c r="B138" i="57"/>
  <c r="C133" i="57"/>
  <c r="B133" i="57"/>
  <c r="H128" i="57"/>
  <c r="G128" i="57"/>
  <c r="F128" i="57"/>
  <c r="E128" i="57"/>
  <c r="D128" i="57"/>
  <c r="C128" i="57"/>
  <c r="B128" i="57"/>
  <c r="B122" i="57"/>
  <c r="B119" i="57"/>
  <c r="G114" i="57"/>
  <c r="F114" i="57"/>
  <c r="E114" i="57"/>
  <c r="D114" i="57"/>
  <c r="C114" i="57"/>
  <c r="B114" i="57"/>
  <c r="I108" i="57"/>
  <c r="H108" i="57"/>
  <c r="G108" i="57"/>
  <c r="F108" i="57"/>
  <c r="E108" i="57"/>
  <c r="D108" i="57"/>
  <c r="C108" i="57"/>
  <c r="I103" i="57"/>
  <c r="H103" i="57"/>
  <c r="G103" i="57"/>
  <c r="F103" i="57"/>
  <c r="E103" i="57"/>
  <c r="D103" i="57"/>
  <c r="C103" i="57"/>
  <c r="F98" i="57"/>
  <c r="E98" i="57"/>
  <c r="D98" i="57"/>
  <c r="D99" i="57" s="1"/>
  <c r="C98" i="57"/>
  <c r="C93" i="57"/>
  <c r="D93" i="57" s="1"/>
  <c r="B93" i="57"/>
  <c r="G87" i="57"/>
  <c r="F87" i="57"/>
  <c r="E87" i="57"/>
  <c r="D87" i="57"/>
  <c r="C87" i="57"/>
  <c r="H82" i="57"/>
  <c r="G82" i="57"/>
  <c r="F82" i="57"/>
  <c r="E82" i="57"/>
  <c r="D82" i="57"/>
  <c r="C82" i="57"/>
  <c r="I77" i="57"/>
  <c r="H77" i="57"/>
  <c r="G77" i="57"/>
  <c r="F77" i="57"/>
  <c r="E77" i="57"/>
  <c r="D77" i="57"/>
  <c r="C77" i="57"/>
  <c r="B77" i="57"/>
  <c r="G71" i="57"/>
  <c r="F71" i="57"/>
  <c r="E71" i="57"/>
  <c r="D71" i="57"/>
  <c r="C71" i="57"/>
  <c r="H66" i="57"/>
  <c r="G66" i="57"/>
  <c r="F66" i="57"/>
  <c r="E66" i="57"/>
  <c r="D66" i="57"/>
  <c r="C66" i="57"/>
  <c r="I61" i="57"/>
  <c r="H61" i="57"/>
  <c r="G61" i="57"/>
  <c r="F61" i="57"/>
  <c r="E61" i="57"/>
  <c r="D61" i="57"/>
  <c r="C61" i="57"/>
  <c r="B61" i="57"/>
  <c r="L55" i="57"/>
  <c r="K55" i="57"/>
  <c r="J55" i="57"/>
  <c r="I55" i="57"/>
  <c r="H55" i="57"/>
  <c r="G55" i="57"/>
  <c r="F55" i="57"/>
  <c r="E55" i="57"/>
  <c r="D55" i="57"/>
  <c r="C55" i="57"/>
  <c r="B55" i="57"/>
  <c r="C50" i="57"/>
  <c r="B50" i="57"/>
  <c r="D50" i="57" s="1"/>
  <c r="K45" i="57"/>
  <c r="J45" i="57"/>
  <c r="I45" i="57"/>
  <c r="H45" i="57"/>
  <c r="H46" i="57" s="1"/>
  <c r="G45" i="57"/>
  <c r="F45" i="57"/>
  <c r="E45" i="57"/>
  <c r="D45" i="57"/>
  <c r="C45" i="57"/>
  <c r="M40" i="57"/>
  <c r="L40" i="57"/>
  <c r="K40" i="57"/>
  <c r="K41" i="57" s="1"/>
  <c r="J40" i="57"/>
  <c r="I40" i="57"/>
  <c r="H40" i="57"/>
  <c r="G40" i="57"/>
  <c r="F40" i="57"/>
  <c r="E40" i="57"/>
  <c r="D40" i="57"/>
  <c r="C40" i="57"/>
  <c r="C41" i="57" s="1"/>
  <c r="F35" i="57"/>
  <c r="E35" i="57"/>
  <c r="D35" i="57"/>
  <c r="C35" i="57"/>
  <c r="H41" i="57" s="1"/>
  <c r="C30" i="57"/>
  <c r="B30" i="57"/>
  <c r="A26" i="57"/>
  <c r="I22" i="57"/>
  <c r="H22" i="57"/>
  <c r="G22" i="57"/>
  <c r="F22" i="57"/>
  <c r="E22" i="57"/>
  <c r="D22" i="57"/>
  <c r="C22" i="57"/>
  <c r="B22" i="57"/>
  <c r="D17" i="57"/>
  <c r="E17" i="57" s="1"/>
  <c r="C17" i="57"/>
  <c r="C12" i="57"/>
  <c r="B12" i="57"/>
  <c r="D8" i="57"/>
  <c r="D7" i="57"/>
  <c r="C7" i="57"/>
  <c r="B7" i="57"/>
  <c r="B3" i="57"/>
  <c r="C152" i="57" s="1"/>
  <c r="E99" i="57"/>
  <c r="G46" i="57"/>
  <c r="K46" i="57"/>
  <c r="F46" i="57"/>
  <c r="D46" i="57"/>
  <c r="E46" i="57"/>
  <c r="D36" i="57"/>
  <c r="E7" i="20"/>
  <c r="E7" i="48"/>
  <c r="E7" i="52"/>
  <c r="E7" i="56"/>
  <c r="L207" i="56"/>
  <c r="K207" i="56"/>
  <c r="J207" i="56"/>
  <c r="I207" i="56"/>
  <c r="H207" i="56"/>
  <c r="G207" i="56"/>
  <c r="F207" i="56"/>
  <c r="E207" i="56"/>
  <c r="D207" i="56"/>
  <c r="C207" i="56"/>
  <c r="B207" i="56"/>
  <c r="A207" i="56"/>
  <c r="H201" i="56"/>
  <c r="G201" i="56"/>
  <c r="F201" i="56"/>
  <c r="E201" i="56"/>
  <c r="D201" i="56"/>
  <c r="D196" i="56"/>
  <c r="C196" i="56"/>
  <c r="N191" i="56"/>
  <c r="M191" i="56"/>
  <c r="L191" i="56"/>
  <c r="L192" i="56" s="1"/>
  <c r="K191" i="56"/>
  <c r="J191" i="56"/>
  <c r="I191" i="56"/>
  <c r="H191" i="56"/>
  <c r="G191" i="56"/>
  <c r="F191" i="56"/>
  <c r="E191" i="56"/>
  <c r="D191" i="56"/>
  <c r="C191" i="56"/>
  <c r="I186" i="56"/>
  <c r="H186" i="56"/>
  <c r="G186" i="56"/>
  <c r="F186" i="56"/>
  <c r="E186" i="56"/>
  <c r="D186" i="56"/>
  <c r="C186" i="56"/>
  <c r="C181" i="56"/>
  <c r="B181" i="56"/>
  <c r="M177" i="56"/>
  <c r="L177" i="56"/>
  <c r="K177" i="56"/>
  <c r="J177" i="56"/>
  <c r="I177" i="56"/>
  <c r="H177" i="56"/>
  <c r="G177" i="56"/>
  <c r="F177" i="56"/>
  <c r="E177" i="56"/>
  <c r="D177" i="56"/>
  <c r="C177" i="56"/>
  <c r="B177" i="56"/>
  <c r="A177" i="56"/>
  <c r="J173" i="56"/>
  <c r="I173" i="56"/>
  <c r="H173" i="56"/>
  <c r="G173" i="56"/>
  <c r="F173" i="56"/>
  <c r="E173" i="56"/>
  <c r="D173" i="56"/>
  <c r="C173" i="56"/>
  <c r="B173" i="56"/>
  <c r="A173" i="56"/>
  <c r="F168" i="56"/>
  <c r="E168" i="56"/>
  <c r="D168" i="56"/>
  <c r="C168" i="56"/>
  <c r="B168" i="56"/>
  <c r="F164" i="56"/>
  <c r="E164" i="56"/>
  <c r="D164" i="56"/>
  <c r="C164" i="56"/>
  <c r="B164" i="56"/>
  <c r="A164" i="56"/>
  <c r="G158" i="56"/>
  <c r="F158" i="56"/>
  <c r="A157" i="56"/>
  <c r="C153" i="56"/>
  <c r="B153" i="56"/>
  <c r="D148" i="56"/>
  <c r="C148" i="56"/>
  <c r="B148" i="56"/>
  <c r="D141" i="56"/>
  <c r="C141" i="56"/>
  <c r="B141" i="56"/>
  <c r="D136" i="56"/>
  <c r="C136" i="56"/>
  <c r="B136" i="56"/>
  <c r="A132" i="56"/>
  <c r="A129" i="56"/>
  <c r="A126" i="56"/>
  <c r="J122" i="56"/>
  <c r="I122" i="56"/>
  <c r="I123" i="56" s="1"/>
  <c r="H122" i="56"/>
  <c r="G122" i="56"/>
  <c r="F122" i="56"/>
  <c r="E122" i="56"/>
  <c r="D122" i="56"/>
  <c r="C122" i="56"/>
  <c r="I117" i="56"/>
  <c r="H117" i="56"/>
  <c r="G117" i="56"/>
  <c r="G118" i="56" s="1"/>
  <c r="F117" i="56"/>
  <c r="E117" i="56"/>
  <c r="D117" i="56"/>
  <c r="C117" i="56"/>
  <c r="C118" i="56" s="1"/>
  <c r="F112" i="56"/>
  <c r="E112" i="56"/>
  <c r="D112" i="56"/>
  <c r="C112" i="56"/>
  <c r="D107" i="56"/>
  <c r="C107" i="56"/>
  <c r="B107" i="56"/>
  <c r="A103" i="56"/>
  <c r="A101" i="56"/>
  <c r="E96" i="56"/>
  <c r="A96" i="56"/>
  <c r="E91" i="56"/>
  <c r="D93" i="56" s="1"/>
  <c r="A91" i="56"/>
  <c r="K86" i="56"/>
  <c r="J86" i="56"/>
  <c r="I86" i="56"/>
  <c r="H86" i="56"/>
  <c r="G86" i="56"/>
  <c r="F86" i="56"/>
  <c r="E86" i="56"/>
  <c r="D86" i="56"/>
  <c r="C86" i="56"/>
  <c r="C81" i="56"/>
  <c r="B81" i="56"/>
  <c r="D76" i="56"/>
  <c r="C76" i="56"/>
  <c r="C72" i="56"/>
  <c r="C70" i="56"/>
  <c r="D66" i="56"/>
  <c r="C66" i="56"/>
  <c r="B62" i="56"/>
  <c r="C58" i="56"/>
  <c r="D58" i="56" s="1"/>
  <c r="B58" i="56"/>
  <c r="D67" i="56" s="1"/>
  <c r="L53" i="56"/>
  <c r="K53" i="56"/>
  <c r="J53" i="56"/>
  <c r="I53" i="56"/>
  <c r="H53" i="56"/>
  <c r="G53" i="56"/>
  <c r="F53" i="56"/>
  <c r="E53" i="56"/>
  <c r="D53" i="56"/>
  <c r="C53" i="56"/>
  <c r="B53" i="56"/>
  <c r="H48" i="56"/>
  <c r="G48" i="56"/>
  <c r="F48" i="56"/>
  <c r="E48" i="56"/>
  <c r="D48" i="56"/>
  <c r="C48" i="56"/>
  <c r="B48" i="56"/>
  <c r="G43" i="56"/>
  <c r="F43" i="56"/>
  <c r="E43" i="56"/>
  <c r="D43" i="56"/>
  <c r="C43" i="56"/>
  <c r="C44" i="56" s="1"/>
  <c r="J38" i="56"/>
  <c r="I38" i="56"/>
  <c r="H38" i="56"/>
  <c r="G38" i="56"/>
  <c r="F38" i="56"/>
  <c r="E38" i="56"/>
  <c r="D38" i="56"/>
  <c r="C38" i="56"/>
  <c r="F49" i="56" s="1"/>
  <c r="G33" i="56"/>
  <c r="F33" i="56"/>
  <c r="E33" i="56"/>
  <c r="D33" i="56"/>
  <c r="C33" i="56"/>
  <c r="K28" i="56"/>
  <c r="J28" i="56"/>
  <c r="I28" i="56"/>
  <c r="H28" i="56"/>
  <c r="G28" i="56"/>
  <c r="F28" i="56"/>
  <c r="E28" i="56"/>
  <c r="D28" i="56"/>
  <c r="C28" i="56"/>
  <c r="D23" i="56"/>
  <c r="C23" i="56"/>
  <c r="B23" i="56"/>
  <c r="D18" i="56"/>
  <c r="C18" i="56"/>
  <c r="B18" i="56"/>
  <c r="F12" i="56"/>
  <c r="E12" i="56"/>
  <c r="D12" i="56"/>
  <c r="C12" i="56"/>
  <c r="B12" i="56"/>
  <c r="D7" i="56"/>
  <c r="C7" i="56"/>
  <c r="B7" i="56"/>
  <c r="B3" i="56"/>
  <c r="B13" i="56" s="1"/>
  <c r="H158" i="56"/>
  <c r="C77" i="56"/>
  <c r="D77" i="56"/>
  <c r="E76" i="56"/>
  <c r="F39" i="56"/>
  <c r="D39" i="56"/>
  <c r="C302" i="55"/>
  <c r="B302" i="55"/>
  <c r="C297" i="55"/>
  <c r="B297" i="55"/>
  <c r="C292" i="55"/>
  <c r="B292" i="55"/>
  <c r="C287" i="55"/>
  <c r="B287" i="55"/>
  <c r="C282" i="55"/>
  <c r="B282" i="55"/>
  <c r="C277" i="55"/>
  <c r="B277" i="55"/>
  <c r="C272" i="55"/>
  <c r="B272" i="55"/>
  <c r="H267" i="55"/>
  <c r="G267" i="55"/>
  <c r="F267" i="55"/>
  <c r="E267" i="55"/>
  <c r="D267" i="55"/>
  <c r="D262" i="55"/>
  <c r="C262" i="55"/>
  <c r="J257" i="55"/>
  <c r="I257" i="55"/>
  <c r="H257" i="55"/>
  <c r="G257" i="55"/>
  <c r="F257" i="55"/>
  <c r="E257" i="55"/>
  <c r="D257" i="55"/>
  <c r="C257" i="55"/>
  <c r="C252" i="55"/>
  <c r="B252" i="55"/>
  <c r="C247" i="55"/>
  <c r="B247" i="55"/>
  <c r="C242" i="55"/>
  <c r="B242" i="55"/>
  <c r="J237" i="55"/>
  <c r="I237" i="55"/>
  <c r="H237" i="55"/>
  <c r="G237" i="55"/>
  <c r="F237" i="55"/>
  <c r="E237" i="55"/>
  <c r="D237" i="55"/>
  <c r="C237" i="55"/>
  <c r="C232" i="55"/>
  <c r="B232" i="55"/>
  <c r="F238" i="55" s="1"/>
  <c r="M227" i="55"/>
  <c r="L227" i="55"/>
  <c r="K227" i="55"/>
  <c r="J227" i="55"/>
  <c r="I227" i="55"/>
  <c r="H227" i="55"/>
  <c r="G227" i="55"/>
  <c r="F227" i="55"/>
  <c r="E227" i="55"/>
  <c r="D227" i="55"/>
  <c r="C227" i="55"/>
  <c r="B227" i="55"/>
  <c r="A227" i="55"/>
  <c r="H222" i="55"/>
  <c r="H223" i="55" s="1"/>
  <c r="G222" i="55"/>
  <c r="F222" i="55"/>
  <c r="E222" i="55"/>
  <c r="D222" i="55"/>
  <c r="D217" i="55"/>
  <c r="C217" i="55"/>
  <c r="O212" i="55"/>
  <c r="N212" i="55"/>
  <c r="M212" i="55"/>
  <c r="L212" i="55"/>
  <c r="K212" i="55"/>
  <c r="J212" i="55"/>
  <c r="I212" i="55"/>
  <c r="H212" i="55"/>
  <c r="G212" i="55"/>
  <c r="F212" i="55"/>
  <c r="E212" i="55"/>
  <c r="D212" i="55"/>
  <c r="C212" i="55"/>
  <c r="I206" i="55"/>
  <c r="H206" i="55"/>
  <c r="G206" i="55"/>
  <c r="F206" i="55"/>
  <c r="E206" i="55"/>
  <c r="D206" i="55"/>
  <c r="C206" i="55"/>
  <c r="C201" i="55"/>
  <c r="B201" i="55"/>
  <c r="L197" i="55"/>
  <c r="K197" i="55"/>
  <c r="J197" i="55"/>
  <c r="I197" i="55"/>
  <c r="H197" i="55"/>
  <c r="G197" i="55"/>
  <c r="F197" i="55"/>
  <c r="E197" i="55"/>
  <c r="D197" i="55"/>
  <c r="C197" i="55"/>
  <c r="B197" i="55"/>
  <c r="A197" i="55"/>
  <c r="P193" i="55"/>
  <c r="O193" i="55"/>
  <c r="N193" i="55"/>
  <c r="M193" i="55"/>
  <c r="L193" i="55"/>
  <c r="K193" i="55"/>
  <c r="J193" i="55"/>
  <c r="I193" i="55"/>
  <c r="H193" i="55"/>
  <c r="G193" i="55"/>
  <c r="F193" i="55"/>
  <c r="E193" i="55"/>
  <c r="D193" i="55"/>
  <c r="C193" i="55"/>
  <c r="B193" i="55"/>
  <c r="A193" i="55"/>
  <c r="F188" i="55"/>
  <c r="E188" i="55"/>
  <c r="D188" i="55"/>
  <c r="C188" i="55"/>
  <c r="B188" i="55"/>
  <c r="C183" i="55"/>
  <c r="B183" i="55"/>
  <c r="G178" i="55"/>
  <c r="F178" i="55"/>
  <c r="E178" i="55"/>
  <c r="D178" i="55"/>
  <c r="C178" i="55"/>
  <c r="B178" i="55"/>
  <c r="E173" i="55"/>
  <c r="E172" i="55"/>
  <c r="E171" i="55"/>
  <c r="E170" i="55"/>
  <c r="E169" i="55"/>
  <c r="E168" i="55"/>
  <c r="E167" i="55"/>
  <c r="E166" i="55"/>
  <c r="G162" i="55"/>
  <c r="F162" i="55"/>
  <c r="E162" i="55"/>
  <c r="D162" i="55"/>
  <c r="C162" i="55"/>
  <c r="B162" i="55"/>
  <c r="M157" i="55"/>
  <c r="L157" i="55"/>
  <c r="K157" i="55"/>
  <c r="J157" i="55"/>
  <c r="I157" i="55"/>
  <c r="I158" i="55" s="1"/>
  <c r="H157" i="55"/>
  <c r="G157" i="55"/>
  <c r="F157" i="55"/>
  <c r="E157" i="55"/>
  <c r="D157" i="55"/>
  <c r="J152" i="55"/>
  <c r="I152" i="55"/>
  <c r="H152" i="55"/>
  <c r="G152" i="55"/>
  <c r="F152" i="55"/>
  <c r="E152" i="55"/>
  <c r="D152" i="55"/>
  <c r="F147" i="55"/>
  <c r="E147" i="55"/>
  <c r="D147" i="55"/>
  <c r="C147" i="55"/>
  <c r="C142" i="55"/>
  <c r="B142" i="55"/>
  <c r="D148" i="55" s="1"/>
  <c r="E138" i="55"/>
  <c r="F134" i="55"/>
  <c r="E134" i="55"/>
  <c r="D134" i="55"/>
  <c r="C134" i="55"/>
  <c r="B134" i="55"/>
  <c r="C129" i="55"/>
  <c r="B129" i="55"/>
  <c r="G123" i="55"/>
  <c r="F123" i="55"/>
  <c r="E123" i="55"/>
  <c r="D123" i="55"/>
  <c r="C123" i="55"/>
  <c r="B123" i="55"/>
  <c r="K118" i="55"/>
  <c r="J118" i="55"/>
  <c r="I118" i="55"/>
  <c r="H118" i="55"/>
  <c r="G118" i="55"/>
  <c r="F118" i="55"/>
  <c r="E118" i="55"/>
  <c r="D118" i="55"/>
  <c r="K113" i="55"/>
  <c r="J113" i="55"/>
  <c r="I113" i="55"/>
  <c r="H113" i="55"/>
  <c r="G113" i="55"/>
  <c r="F113" i="55"/>
  <c r="E113" i="55"/>
  <c r="D113" i="55"/>
  <c r="G108" i="55"/>
  <c r="F108" i="55"/>
  <c r="E108" i="55"/>
  <c r="D108" i="55"/>
  <c r="D103" i="55"/>
  <c r="C103" i="55"/>
  <c r="D97" i="55"/>
  <c r="C97" i="55"/>
  <c r="B97" i="55"/>
  <c r="N92" i="55"/>
  <c r="M92" i="55"/>
  <c r="L92" i="55"/>
  <c r="K92" i="55"/>
  <c r="J92" i="55"/>
  <c r="I92" i="55"/>
  <c r="H92" i="55"/>
  <c r="G92" i="55"/>
  <c r="F92" i="55"/>
  <c r="E92" i="55"/>
  <c r="D92" i="55"/>
  <c r="C92" i="55"/>
  <c r="B92" i="55"/>
  <c r="F86" i="55"/>
  <c r="E86" i="55"/>
  <c r="E87" i="55" s="1"/>
  <c r="D86" i="55"/>
  <c r="C86" i="55"/>
  <c r="C81" i="55"/>
  <c r="B81" i="55"/>
  <c r="G76" i="55"/>
  <c r="F76" i="55"/>
  <c r="E76" i="55"/>
  <c r="D76" i="55"/>
  <c r="C76" i="55"/>
  <c r="C71" i="55"/>
  <c r="B71" i="55"/>
  <c r="D66" i="55"/>
  <c r="C66" i="55"/>
  <c r="E62" i="55"/>
  <c r="E60" i="55"/>
  <c r="D57" i="55"/>
  <c r="C57" i="55"/>
  <c r="B53" i="55"/>
  <c r="D49" i="55"/>
  <c r="C49" i="55"/>
  <c r="B49" i="55"/>
  <c r="J44" i="55"/>
  <c r="I44" i="55"/>
  <c r="H44" i="55"/>
  <c r="H45" i="55" s="1"/>
  <c r="G44" i="55"/>
  <c r="F44" i="55"/>
  <c r="E44" i="55"/>
  <c r="D44" i="55"/>
  <c r="C44" i="55"/>
  <c r="B44" i="55"/>
  <c r="E39" i="55"/>
  <c r="D39" i="55"/>
  <c r="C39" i="55"/>
  <c r="C34" i="55"/>
  <c r="B34" i="55"/>
  <c r="G29" i="55"/>
  <c r="F29" i="55"/>
  <c r="E29" i="55"/>
  <c r="D29" i="55"/>
  <c r="C29" i="55"/>
  <c r="L24" i="55"/>
  <c r="L25" i="55" s="1"/>
  <c r="K24" i="55"/>
  <c r="K25" i="55" s="1"/>
  <c r="J24" i="55"/>
  <c r="I24" i="55"/>
  <c r="I25" i="55" s="1"/>
  <c r="H24" i="55"/>
  <c r="H25" i="55" s="1"/>
  <c r="G24" i="55"/>
  <c r="F24" i="55"/>
  <c r="F25" i="55" s="1"/>
  <c r="E24" i="55"/>
  <c r="E25" i="55" s="1"/>
  <c r="D24" i="55"/>
  <c r="D25" i="55" s="1"/>
  <c r="C24" i="55"/>
  <c r="C25" i="55" s="1"/>
  <c r="G19" i="55"/>
  <c r="G20" i="55" s="1"/>
  <c r="F19" i="55"/>
  <c r="E19" i="55"/>
  <c r="E20" i="55" s="1"/>
  <c r="D19" i="55"/>
  <c r="D20" i="55" s="1"/>
  <c r="C19" i="55"/>
  <c r="M14" i="55"/>
  <c r="L14" i="55"/>
  <c r="K14" i="55"/>
  <c r="J14" i="55"/>
  <c r="I14" i="55"/>
  <c r="H14" i="55"/>
  <c r="G14" i="55"/>
  <c r="F14" i="55"/>
  <c r="E14" i="55"/>
  <c r="D14" i="55"/>
  <c r="C14" i="55"/>
  <c r="D9" i="55"/>
  <c r="C9" i="55"/>
  <c r="B9" i="55"/>
  <c r="I45" i="55" s="1"/>
  <c r="C4" i="55"/>
  <c r="D189" i="55" s="1"/>
  <c r="C3" i="55"/>
  <c r="K158" i="55"/>
  <c r="I153" i="55"/>
  <c r="G109" i="55"/>
  <c r="E77" i="55"/>
  <c r="J25" i="55"/>
  <c r="G25" i="55"/>
  <c r="C20" i="55"/>
  <c r="H20" i="55" s="1"/>
  <c r="J45" i="55"/>
  <c r="M167" i="54"/>
  <c r="L167" i="54"/>
  <c r="K167" i="54"/>
  <c r="J167" i="54"/>
  <c r="I167" i="54"/>
  <c r="H167" i="54"/>
  <c r="G167" i="54"/>
  <c r="F167" i="54"/>
  <c r="E167" i="54"/>
  <c r="D167" i="54"/>
  <c r="C167" i="54"/>
  <c r="B167" i="54"/>
  <c r="A167" i="54"/>
  <c r="H160" i="54"/>
  <c r="G160" i="54"/>
  <c r="F160" i="54"/>
  <c r="F161" i="54" s="1"/>
  <c r="E160" i="54"/>
  <c r="D160" i="54"/>
  <c r="D155" i="54"/>
  <c r="E161" i="54" s="1"/>
  <c r="C155" i="54"/>
  <c r="O150" i="54"/>
  <c r="N150" i="54"/>
  <c r="M150" i="54"/>
  <c r="L150" i="54"/>
  <c r="K150" i="54"/>
  <c r="J150" i="54"/>
  <c r="I150" i="54"/>
  <c r="H150" i="54"/>
  <c r="G150" i="54"/>
  <c r="F150" i="54"/>
  <c r="E150" i="54"/>
  <c r="D150" i="54"/>
  <c r="C150" i="54"/>
  <c r="I145" i="54"/>
  <c r="H145" i="54"/>
  <c r="G145" i="54"/>
  <c r="F145" i="54"/>
  <c r="E145" i="54"/>
  <c r="D145" i="54"/>
  <c r="C145" i="54"/>
  <c r="C140" i="54"/>
  <c r="B140" i="54"/>
  <c r="C151" i="54" s="1"/>
  <c r="L136" i="54"/>
  <c r="K136" i="54"/>
  <c r="J136" i="54"/>
  <c r="I136" i="54"/>
  <c r="H136" i="54"/>
  <c r="G136" i="54"/>
  <c r="F136" i="54"/>
  <c r="E136" i="54"/>
  <c r="D136" i="54"/>
  <c r="C136" i="54"/>
  <c r="B136" i="54"/>
  <c r="A136" i="54"/>
  <c r="L132" i="54"/>
  <c r="K132" i="54"/>
  <c r="J132" i="54"/>
  <c r="I132" i="54"/>
  <c r="H132" i="54"/>
  <c r="G132" i="54"/>
  <c r="F132" i="54"/>
  <c r="E132" i="54"/>
  <c r="D132" i="54"/>
  <c r="C132" i="54"/>
  <c r="B132" i="54"/>
  <c r="A132" i="54"/>
  <c r="F127" i="54"/>
  <c r="E127" i="54"/>
  <c r="D127" i="54"/>
  <c r="C127" i="54"/>
  <c r="B127" i="54"/>
  <c r="D122" i="54"/>
  <c r="C122" i="54"/>
  <c r="B122" i="54"/>
  <c r="I117" i="54"/>
  <c r="H117" i="54"/>
  <c r="G117" i="54"/>
  <c r="F117" i="54"/>
  <c r="E117" i="54"/>
  <c r="D117" i="54"/>
  <c r="C117" i="54"/>
  <c r="B117" i="54"/>
  <c r="G113" i="54"/>
  <c r="F113" i="54"/>
  <c r="E113" i="54"/>
  <c r="D113" i="54"/>
  <c r="C113" i="54"/>
  <c r="B113" i="54"/>
  <c r="F108" i="54"/>
  <c r="E108" i="54"/>
  <c r="D108" i="54"/>
  <c r="C108" i="54"/>
  <c r="E103" i="54"/>
  <c r="D103" i="54"/>
  <c r="C103" i="54"/>
  <c r="B99" i="54"/>
  <c r="C95" i="54"/>
  <c r="B95" i="54"/>
  <c r="D90" i="54"/>
  <c r="C90" i="54"/>
  <c r="B90" i="54"/>
  <c r="I83" i="54"/>
  <c r="H83" i="54"/>
  <c r="G83" i="54"/>
  <c r="F83" i="54"/>
  <c r="E83" i="54"/>
  <c r="D83" i="54"/>
  <c r="C83" i="54"/>
  <c r="J78" i="54"/>
  <c r="I78" i="54"/>
  <c r="H78" i="54"/>
  <c r="G78" i="54"/>
  <c r="F78" i="54"/>
  <c r="E78" i="54"/>
  <c r="D78" i="54"/>
  <c r="C78" i="54"/>
  <c r="F73" i="54"/>
  <c r="E73" i="54"/>
  <c r="D73" i="54"/>
  <c r="C73" i="54"/>
  <c r="C68" i="54"/>
  <c r="B68" i="54"/>
  <c r="H63" i="54"/>
  <c r="G63" i="54"/>
  <c r="F63" i="54"/>
  <c r="E63" i="54"/>
  <c r="D63" i="54"/>
  <c r="C63" i="54"/>
  <c r="B63" i="54"/>
  <c r="F58" i="54"/>
  <c r="E58" i="54"/>
  <c r="D58" i="54"/>
  <c r="C58" i="54"/>
  <c r="B58" i="54"/>
  <c r="H53" i="54"/>
  <c r="G53" i="54"/>
  <c r="F53" i="54"/>
  <c r="E53" i="54"/>
  <c r="D53" i="54"/>
  <c r="C53" i="54"/>
  <c r="B53" i="54"/>
  <c r="A49" i="54"/>
  <c r="E45" i="54"/>
  <c r="D45" i="54"/>
  <c r="C45" i="54"/>
  <c r="B45" i="54"/>
  <c r="L38" i="54"/>
  <c r="K38" i="54"/>
  <c r="J38" i="54"/>
  <c r="I38" i="54"/>
  <c r="H38" i="54"/>
  <c r="G38" i="54"/>
  <c r="F38" i="54"/>
  <c r="E38" i="54"/>
  <c r="D38" i="54"/>
  <c r="C38" i="54"/>
  <c r="B38" i="54"/>
  <c r="H33" i="54"/>
  <c r="G33" i="54"/>
  <c r="F33" i="54"/>
  <c r="E33" i="54"/>
  <c r="D33" i="54"/>
  <c r="I28" i="54"/>
  <c r="H28" i="54"/>
  <c r="G28" i="54"/>
  <c r="F28" i="54"/>
  <c r="E28" i="54"/>
  <c r="D28" i="54"/>
  <c r="H23" i="54"/>
  <c r="G23" i="54"/>
  <c r="F23" i="54"/>
  <c r="E23" i="54"/>
  <c r="E24" i="54" s="1"/>
  <c r="D23" i="54"/>
  <c r="F18" i="54"/>
  <c r="E18" i="54"/>
  <c r="E19" i="54" s="1"/>
  <c r="D18" i="54"/>
  <c r="D13" i="54"/>
  <c r="C13" i="54"/>
  <c r="B13" i="54"/>
  <c r="H7" i="54"/>
  <c r="G7" i="54"/>
  <c r="F7" i="54"/>
  <c r="E7" i="54"/>
  <c r="D7" i="54"/>
  <c r="C7" i="54"/>
  <c r="B7" i="54"/>
  <c r="B3" i="54"/>
  <c r="E128" i="54" s="1"/>
  <c r="B118" i="54"/>
  <c r="I156" i="53"/>
  <c r="H156" i="53"/>
  <c r="G156" i="53"/>
  <c r="F156" i="53"/>
  <c r="E156" i="53"/>
  <c r="D156" i="53"/>
  <c r="C156" i="53"/>
  <c r="B156" i="53"/>
  <c r="A156" i="53"/>
  <c r="C151" i="53"/>
  <c r="B151" i="53"/>
  <c r="L147" i="53"/>
  <c r="K147" i="53"/>
  <c r="J147" i="53"/>
  <c r="I147" i="53"/>
  <c r="H147" i="53"/>
  <c r="G147" i="53"/>
  <c r="F147" i="53"/>
  <c r="E147" i="53"/>
  <c r="D147" i="53"/>
  <c r="C147" i="53"/>
  <c r="B147" i="53"/>
  <c r="A147" i="53"/>
  <c r="P143" i="53"/>
  <c r="O143" i="53"/>
  <c r="N143" i="53"/>
  <c r="M143" i="53"/>
  <c r="L143" i="53"/>
  <c r="K143" i="53"/>
  <c r="J143" i="53"/>
  <c r="I143" i="53"/>
  <c r="H143" i="53"/>
  <c r="G143" i="53"/>
  <c r="F143" i="53"/>
  <c r="E143" i="53"/>
  <c r="D143" i="53"/>
  <c r="C143" i="53"/>
  <c r="B143" i="53"/>
  <c r="A143" i="53"/>
  <c r="F138" i="53"/>
  <c r="E138" i="53"/>
  <c r="D138" i="53"/>
  <c r="C138" i="53"/>
  <c r="B138" i="53"/>
  <c r="C133" i="53"/>
  <c r="B133" i="53"/>
  <c r="H128" i="53"/>
  <c r="G128" i="53"/>
  <c r="F128" i="53"/>
  <c r="E128" i="53"/>
  <c r="D128" i="53"/>
  <c r="C128" i="53"/>
  <c r="B128" i="53"/>
  <c r="B122" i="53"/>
  <c r="B119" i="53"/>
  <c r="G114" i="53"/>
  <c r="F114" i="53"/>
  <c r="E114" i="53"/>
  <c r="D114" i="53"/>
  <c r="C114" i="53"/>
  <c r="B114" i="53"/>
  <c r="I108" i="53"/>
  <c r="H108" i="53"/>
  <c r="G108" i="53"/>
  <c r="F108" i="53"/>
  <c r="E108" i="53"/>
  <c r="D108" i="53"/>
  <c r="C108" i="53"/>
  <c r="I103" i="53"/>
  <c r="H103" i="53"/>
  <c r="G103" i="53"/>
  <c r="F103" i="53"/>
  <c r="E103" i="53"/>
  <c r="D103" i="53"/>
  <c r="C103" i="53"/>
  <c r="F98" i="53"/>
  <c r="E98" i="53"/>
  <c r="D98" i="53"/>
  <c r="C98" i="53"/>
  <c r="C93" i="53"/>
  <c r="B93" i="53"/>
  <c r="G87" i="53"/>
  <c r="F87" i="53"/>
  <c r="E87" i="53"/>
  <c r="D87" i="53"/>
  <c r="C87" i="53"/>
  <c r="H82" i="53"/>
  <c r="G82" i="53"/>
  <c r="F82" i="53"/>
  <c r="E82" i="53"/>
  <c r="D82" i="53"/>
  <c r="C82" i="53"/>
  <c r="I77" i="53"/>
  <c r="H77" i="53"/>
  <c r="G77" i="53"/>
  <c r="F77" i="53"/>
  <c r="E77" i="53"/>
  <c r="D77" i="53"/>
  <c r="C77" i="53"/>
  <c r="B77" i="53"/>
  <c r="G71" i="53"/>
  <c r="F71" i="53"/>
  <c r="E71" i="53"/>
  <c r="D71" i="53"/>
  <c r="C71" i="53"/>
  <c r="H66" i="53"/>
  <c r="G66" i="53"/>
  <c r="F66" i="53"/>
  <c r="E66" i="53"/>
  <c r="D66" i="53"/>
  <c r="C66" i="53"/>
  <c r="I61" i="53"/>
  <c r="H61" i="53"/>
  <c r="G61" i="53"/>
  <c r="F61" i="53"/>
  <c r="E61" i="53"/>
  <c r="D61" i="53"/>
  <c r="C61" i="53"/>
  <c r="B61" i="53"/>
  <c r="L55" i="53"/>
  <c r="K55" i="53"/>
  <c r="J55" i="53"/>
  <c r="I55" i="53"/>
  <c r="H55" i="53"/>
  <c r="G55" i="53"/>
  <c r="F55" i="53"/>
  <c r="E55" i="53"/>
  <c r="D55" i="53"/>
  <c r="C55" i="53"/>
  <c r="B55" i="53"/>
  <c r="C50" i="53"/>
  <c r="B50" i="53"/>
  <c r="K45" i="53"/>
  <c r="J45" i="53"/>
  <c r="I45" i="53"/>
  <c r="H45" i="53"/>
  <c r="G45" i="53"/>
  <c r="F45" i="53"/>
  <c r="E45" i="53"/>
  <c r="D45" i="53"/>
  <c r="C45" i="53"/>
  <c r="M40" i="53"/>
  <c r="L40" i="53"/>
  <c r="K40" i="53"/>
  <c r="J40" i="53"/>
  <c r="I40" i="53"/>
  <c r="H40" i="53"/>
  <c r="G40" i="53"/>
  <c r="F40" i="53"/>
  <c r="E40" i="53"/>
  <c r="D40" i="53"/>
  <c r="C40" i="53"/>
  <c r="F35" i="53"/>
  <c r="E35" i="53"/>
  <c r="D35" i="53"/>
  <c r="C35" i="53"/>
  <c r="C30" i="53"/>
  <c r="B30" i="53"/>
  <c r="A26" i="53"/>
  <c r="I22" i="53"/>
  <c r="H22" i="53"/>
  <c r="G22" i="53"/>
  <c r="F22" i="53"/>
  <c r="E22" i="53"/>
  <c r="D22" i="53"/>
  <c r="C22" i="53"/>
  <c r="B22" i="53"/>
  <c r="D17" i="53"/>
  <c r="C17" i="53"/>
  <c r="C12" i="53"/>
  <c r="B12" i="53"/>
  <c r="D8" i="53"/>
  <c r="D7" i="53"/>
  <c r="C7" i="53"/>
  <c r="B7" i="53"/>
  <c r="B3" i="53"/>
  <c r="C129" i="53" s="1"/>
  <c r="D99" i="53"/>
  <c r="A157" i="52"/>
  <c r="D107" i="20"/>
  <c r="D107" i="48"/>
  <c r="D107" i="52"/>
  <c r="L207" i="52"/>
  <c r="K207" i="52"/>
  <c r="J207" i="52"/>
  <c r="I207" i="52"/>
  <c r="H207" i="52"/>
  <c r="G207" i="52"/>
  <c r="F207" i="52"/>
  <c r="E207" i="52"/>
  <c r="D207" i="52"/>
  <c r="C207" i="52"/>
  <c r="B207" i="52"/>
  <c r="A207" i="52"/>
  <c r="H201" i="52"/>
  <c r="G201" i="52"/>
  <c r="F201" i="52"/>
  <c r="E201" i="52"/>
  <c r="D201" i="52"/>
  <c r="D196" i="52"/>
  <c r="C196" i="52"/>
  <c r="N191" i="52"/>
  <c r="M191" i="52"/>
  <c r="L191" i="52"/>
  <c r="K191" i="52"/>
  <c r="J191" i="52"/>
  <c r="I191" i="52"/>
  <c r="H191" i="52"/>
  <c r="G191" i="52"/>
  <c r="F191" i="52"/>
  <c r="E191" i="52"/>
  <c r="D191" i="52"/>
  <c r="C191" i="52"/>
  <c r="I186" i="52"/>
  <c r="H186" i="52"/>
  <c r="G186" i="52"/>
  <c r="F186" i="52"/>
  <c r="E186" i="52"/>
  <c r="D186" i="52"/>
  <c r="C186" i="52"/>
  <c r="C181" i="52"/>
  <c r="B181" i="52"/>
  <c r="M177" i="52"/>
  <c r="L177" i="52"/>
  <c r="K177" i="52"/>
  <c r="J177" i="52"/>
  <c r="I177" i="52"/>
  <c r="H177" i="52"/>
  <c r="G177" i="52"/>
  <c r="F177" i="52"/>
  <c r="E177" i="52"/>
  <c r="D177" i="52"/>
  <c r="C177" i="52"/>
  <c r="B177" i="52"/>
  <c r="A177" i="52"/>
  <c r="J173" i="52"/>
  <c r="I173" i="52"/>
  <c r="H173" i="52"/>
  <c r="G173" i="52"/>
  <c r="F173" i="52"/>
  <c r="E173" i="52"/>
  <c r="D173" i="52"/>
  <c r="C173" i="52"/>
  <c r="B173" i="52"/>
  <c r="A173" i="52"/>
  <c r="F168" i="52"/>
  <c r="E168" i="52"/>
  <c r="D168" i="52"/>
  <c r="C168" i="52"/>
  <c r="B168" i="52"/>
  <c r="F164" i="52"/>
  <c r="E164" i="52"/>
  <c r="D164" i="52"/>
  <c r="C164" i="52"/>
  <c r="B164" i="52"/>
  <c r="A164" i="52"/>
  <c r="G158" i="52"/>
  <c r="F158" i="52"/>
  <c r="C153" i="52"/>
  <c r="B153" i="52"/>
  <c r="D148" i="52"/>
  <c r="C148" i="52"/>
  <c r="B148" i="52"/>
  <c r="D141" i="52"/>
  <c r="C141" i="52"/>
  <c r="B141" i="52"/>
  <c r="D136" i="52"/>
  <c r="C136" i="52"/>
  <c r="B136" i="52"/>
  <c r="A132" i="52"/>
  <c r="A129" i="52"/>
  <c r="A126" i="52"/>
  <c r="J122" i="52"/>
  <c r="I122" i="52"/>
  <c r="H122" i="52"/>
  <c r="G122" i="52"/>
  <c r="F122" i="52"/>
  <c r="E122" i="52"/>
  <c r="D122" i="52"/>
  <c r="C122" i="52"/>
  <c r="I117" i="52"/>
  <c r="H117" i="52"/>
  <c r="G117" i="52"/>
  <c r="F117" i="52"/>
  <c r="E117" i="52"/>
  <c r="D117" i="52"/>
  <c r="C117" i="52"/>
  <c r="F112" i="52"/>
  <c r="E112" i="52"/>
  <c r="D112" i="52"/>
  <c r="C112" i="52"/>
  <c r="C107" i="52"/>
  <c r="B107" i="52"/>
  <c r="A103" i="52"/>
  <c r="A101" i="52"/>
  <c r="E96" i="52"/>
  <c r="A96" i="52"/>
  <c r="E91" i="52"/>
  <c r="A91" i="52"/>
  <c r="K86" i="52"/>
  <c r="J86" i="52"/>
  <c r="I86" i="52"/>
  <c r="H86" i="52"/>
  <c r="G86" i="52"/>
  <c r="F86" i="52"/>
  <c r="E86" i="52"/>
  <c r="D86" i="52"/>
  <c r="C86" i="52"/>
  <c r="C81" i="52"/>
  <c r="B81" i="52"/>
  <c r="D76" i="52"/>
  <c r="C76" i="52"/>
  <c r="C72" i="52"/>
  <c r="C70" i="52"/>
  <c r="D66" i="52"/>
  <c r="C66" i="52"/>
  <c r="B62" i="52"/>
  <c r="C58" i="52"/>
  <c r="B58" i="52"/>
  <c r="L53" i="52"/>
  <c r="K53" i="52"/>
  <c r="J53" i="52"/>
  <c r="I53" i="52"/>
  <c r="H53" i="52"/>
  <c r="G53" i="52"/>
  <c r="F53" i="52"/>
  <c r="E53" i="52"/>
  <c r="D53" i="52"/>
  <c r="C53" i="52"/>
  <c r="B53" i="52"/>
  <c r="H48" i="52"/>
  <c r="G48" i="52"/>
  <c r="F48" i="52"/>
  <c r="E48" i="52"/>
  <c r="D48" i="52"/>
  <c r="C48" i="52"/>
  <c r="B48" i="52"/>
  <c r="G43" i="52"/>
  <c r="F43" i="52"/>
  <c r="E43" i="52"/>
  <c r="D43" i="52"/>
  <c r="C43" i="52"/>
  <c r="J38" i="52"/>
  <c r="I38" i="52"/>
  <c r="H38" i="52"/>
  <c r="G38" i="52"/>
  <c r="F38" i="52"/>
  <c r="E38" i="52"/>
  <c r="D38" i="52"/>
  <c r="C38" i="52"/>
  <c r="G33" i="52"/>
  <c r="F33" i="52"/>
  <c r="E33" i="52"/>
  <c r="D33" i="52"/>
  <c r="C33" i="52"/>
  <c r="K28" i="52"/>
  <c r="J28" i="52"/>
  <c r="I28" i="52"/>
  <c r="H28" i="52"/>
  <c r="G28" i="52"/>
  <c r="F28" i="52"/>
  <c r="E28" i="52"/>
  <c r="D28" i="52"/>
  <c r="C28" i="52"/>
  <c r="D23" i="52"/>
  <c r="C23" i="52"/>
  <c r="B23" i="52"/>
  <c r="D18" i="52"/>
  <c r="C18" i="52"/>
  <c r="B18" i="52"/>
  <c r="F12" i="52"/>
  <c r="E12" i="52"/>
  <c r="D12" i="52"/>
  <c r="C12" i="52"/>
  <c r="B12" i="52"/>
  <c r="D7" i="52"/>
  <c r="C7" i="52"/>
  <c r="B7" i="52"/>
  <c r="B3" i="52"/>
  <c r="H54" i="52" s="1"/>
  <c r="J192" i="52"/>
  <c r="I187" i="52"/>
  <c r="I87" i="52"/>
  <c r="C303" i="51"/>
  <c r="B303" i="51"/>
  <c r="C298" i="51"/>
  <c r="B298" i="51"/>
  <c r="C293" i="51"/>
  <c r="B293" i="51"/>
  <c r="C288" i="51"/>
  <c r="B288" i="51"/>
  <c r="C283" i="51"/>
  <c r="B283" i="51"/>
  <c r="C278" i="51"/>
  <c r="B278" i="51"/>
  <c r="C273" i="51"/>
  <c r="B273" i="51"/>
  <c r="H268" i="51"/>
  <c r="G268" i="51"/>
  <c r="F268" i="51"/>
  <c r="E268" i="51"/>
  <c r="D268" i="51"/>
  <c r="D263" i="51"/>
  <c r="C263" i="51"/>
  <c r="J258" i="51"/>
  <c r="I258" i="51"/>
  <c r="H258" i="51"/>
  <c r="G258" i="51"/>
  <c r="F258" i="51"/>
  <c r="E258" i="51"/>
  <c r="D258" i="51"/>
  <c r="C258" i="51"/>
  <c r="C253" i="51"/>
  <c r="B253" i="51"/>
  <c r="C248" i="51"/>
  <c r="B248" i="51"/>
  <c r="C243" i="51"/>
  <c r="B243" i="51"/>
  <c r="J238" i="51"/>
  <c r="I238" i="51"/>
  <c r="H238" i="51"/>
  <c r="G238" i="51"/>
  <c r="F238" i="51"/>
  <c r="E238" i="51"/>
  <c r="D238" i="51"/>
  <c r="C238" i="51"/>
  <c r="C233" i="51"/>
  <c r="B233" i="51"/>
  <c r="M228" i="51"/>
  <c r="L228" i="51"/>
  <c r="K228" i="51"/>
  <c r="J228" i="51"/>
  <c r="I228" i="51"/>
  <c r="H228" i="51"/>
  <c r="G228" i="51"/>
  <c r="F228" i="51"/>
  <c r="E228" i="51"/>
  <c r="D228" i="51"/>
  <c r="C228" i="51"/>
  <c r="B228" i="51"/>
  <c r="A228" i="51"/>
  <c r="H223" i="51"/>
  <c r="G223" i="51"/>
  <c r="F223" i="51"/>
  <c r="E223" i="51"/>
  <c r="D223" i="51"/>
  <c r="D218" i="51"/>
  <c r="C218" i="51"/>
  <c r="O213" i="51"/>
  <c r="N213" i="51"/>
  <c r="M213" i="51"/>
  <c r="L213" i="51"/>
  <c r="K213" i="51"/>
  <c r="J213" i="51"/>
  <c r="I213" i="51"/>
  <c r="H213" i="51"/>
  <c r="G213" i="51"/>
  <c r="F213" i="51"/>
  <c r="E213" i="51"/>
  <c r="D213" i="51"/>
  <c r="C213" i="51"/>
  <c r="I207" i="51"/>
  <c r="H207" i="51"/>
  <c r="G207" i="51"/>
  <c r="F207" i="51"/>
  <c r="E207" i="51"/>
  <c r="D207" i="51"/>
  <c r="C207" i="51"/>
  <c r="C202" i="51"/>
  <c r="B202" i="51"/>
  <c r="L198" i="51"/>
  <c r="K198" i="51"/>
  <c r="J198" i="51"/>
  <c r="I198" i="51"/>
  <c r="H198" i="51"/>
  <c r="G198" i="51"/>
  <c r="F198" i="51"/>
  <c r="E198" i="51"/>
  <c r="D198" i="51"/>
  <c r="C198" i="51"/>
  <c r="B198" i="51"/>
  <c r="A198" i="51"/>
  <c r="P194" i="51"/>
  <c r="O194" i="51"/>
  <c r="N194" i="51"/>
  <c r="M194" i="51"/>
  <c r="L194" i="51"/>
  <c r="K194" i="51"/>
  <c r="J194" i="51"/>
  <c r="I194" i="51"/>
  <c r="H194" i="51"/>
  <c r="G194" i="51"/>
  <c r="F194" i="51"/>
  <c r="E194" i="51"/>
  <c r="D194" i="51"/>
  <c r="C194" i="51"/>
  <c r="B194" i="51"/>
  <c r="A194" i="51"/>
  <c r="F189" i="51"/>
  <c r="E189" i="51"/>
  <c r="D189" i="51"/>
  <c r="C189" i="51"/>
  <c r="B189" i="51"/>
  <c r="C184" i="51"/>
  <c r="B184" i="51"/>
  <c r="G179" i="51"/>
  <c r="F179" i="51"/>
  <c r="E179" i="51"/>
  <c r="D179" i="51"/>
  <c r="C179" i="51"/>
  <c r="B179" i="51"/>
  <c r="E173" i="51"/>
  <c r="E172" i="51"/>
  <c r="E171" i="51"/>
  <c r="E170" i="51"/>
  <c r="E169" i="51"/>
  <c r="E168" i="51"/>
  <c r="E167" i="51"/>
  <c r="E166" i="51"/>
  <c r="G162" i="51"/>
  <c r="F162" i="51"/>
  <c r="E162" i="51"/>
  <c r="D162" i="51"/>
  <c r="C162" i="51"/>
  <c r="B162" i="51"/>
  <c r="M157" i="51"/>
  <c r="L157" i="51"/>
  <c r="K157" i="51"/>
  <c r="J157" i="51"/>
  <c r="I157" i="51"/>
  <c r="H157" i="51"/>
  <c r="G157" i="51"/>
  <c r="F157" i="51"/>
  <c r="E157" i="51"/>
  <c r="D157" i="51"/>
  <c r="J152" i="51"/>
  <c r="I152" i="51"/>
  <c r="H152" i="51"/>
  <c r="G152" i="51"/>
  <c r="F152" i="51"/>
  <c r="E152" i="51"/>
  <c r="D152" i="51"/>
  <c r="F147" i="51"/>
  <c r="E147" i="51"/>
  <c r="D147" i="51"/>
  <c r="C147" i="51"/>
  <c r="C142" i="51"/>
  <c r="B142" i="51"/>
  <c r="E138" i="51"/>
  <c r="F134" i="51"/>
  <c r="E134" i="51"/>
  <c r="D134" i="51"/>
  <c r="C134" i="51"/>
  <c r="B134" i="51"/>
  <c r="C129" i="51"/>
  <c r="B129" i="51"/>
  <c r="G123" i="51"/>
  <c r="F123" i="51"/>
  <c r="E123" i="51"/>
  <c r="D123" i="51"/>
  <c r="C123" i="51"/>
  <c r="B123" i="51"/>
  <c r="K118" i="51"/>
  <c r="J118" i="51"/>
  <c r="I118" i="51"/>
  <c r="H118" i="51"/>
  <c r="G118" i="51"/>
  <c r="F118" i="51"/>
  <c r="E118" i="51"/>
  <c r="D118" i="51"/>
  <c r="K113" i="51"/>
  <c r="J113" i="51"/>
  <c r="I113" i="51"/>
  <c r="H113" i="51"/>
  <c r="G113" i="51"/>
  <c r="F113" i="51"/>
  <c r="E113" i="51"/>
  <c r="D113" i="51"/>
  <c r="G108" i="51"/>
  <c r="F108" i="51"/>
  <c r="E108" i="51"/>
  <c r="D108" i="51"/>
  <c r="D103" i="51"/>
  <c r="C103" i="51"/>
  <c r="D97" i="51"/>
  <c r="C97" i="51"/>
  <c r="B97" i="51"/>
  <c r="N92" i="51"/>
  <c r="M92" i="51"/>
  <c r="L92" i="51"/>
  <c r="K92" i="51"/>
  <c r="J92" i="51"/>
  <c r="I92" i="51"/>
  <c r="H92" i="51"/>
  <c r="G92" i="51"/>
  <c r="F92" i="51"/>
  <c r="E92" i="51"/>
  <c r="D92" i="51"/>
  <c r="C92" i="51"/>
  <c r="B92" i="51"/>
  <c r="F86" i="51"/>
  <c r="E86" i="51"/>
  <c r="D86" i="51"/>
  <c r="C86" i="51"/>
  <c r="C81" i="51"/>
  <c r="B81" i="51"/>
  <c r="G76" i="51"/>
  <c r="F76" i="51"/>
  <c r="E76" i="51"/>
  <c r="D76" i="51"/>
  <c r="C76" i="51"/>
  <c r="C77" i="51" s="1"/>
  <c r="C71" i="51"/>
  <c r="B71" i="51"/>
  <c r="D66" i="51"/>
  <c r="C66" i="51"/>
  <c r="E62" i="51"/>
  <c r="E60" i="51"/>
  <c r="D57" i="51"/>
  <c r="C57" i="51"/>
  <c r="B53" i="51"/>
  <c r="D49" i="51"/>
  <c r="C49" i="51"/>
  <c r="B49" i="51"/>
  <c r="J44" i="51"/>
  <c r="I44" i="51"/>
  <c r="H44" i="51"/>
  <c r="G44" i="51"/>
  <c r="F44" i="51"/>
  <c r="E44" i="51"/>
  <c r="D44" i="51"/>
  <c r="C44" i="51"/>
  <c r="B44" i="51"/>
  <c r="E39" i="51"/>
  <c r="D39" i="51"/>
  <c r="C39" i="51"/>
  <c r="C34" i="51"/>
  <c r="B34" i="51"/>
  <c r="G29" i="51"/>
  <c r="F29" i="51"/>
  <c r="E29" i="51"/>
  <c r="D29" i="51"/>
  <c r="C29" i="51"/>
  <c r="L24" i="51"/>
  <c r="L25" i="51" s="1"/>
  <c r="K24" i="51"/>
  <c r="K25" i="51" s="1"/>
  <c r="J24" i="51"/>
  <c r="I24" i="51"/>
  <c r="I25" i="51" s="1"/>
  <c r="H24" i="51"/>
  <c r="H25" i="51" s="1"/>
  <c r="G24" i="51"/>
  <c r="G25" i="51" s="1"/>
  <c r="F24" i="51"/>
  <c r="F25" i="51" s="1"/>
  <c r="E24" i="51"/>
  <c r="E25" i="51" s="1"/>
  <c r="D24" i="51"/>
  <c r="D25" i="51" s="1"/>
  <c r="C24" i="51"/>
  <c r="C25" i="51" s="1"/>
  <c r="G19" i="51"/>
  <c r="F19" i="51"/>
  <c r="F20" i="51" s="1"/>
  <c r="E19" i="51"/>
  <c r="D19" i="51"/>
  <c r="D20" i="51" s="1"/>
  <c r="C19" i="51"/>
  <c r="C20" i="51" s="1"/>
  <c r="H20" i="51" s="1"/>
  <c r="M14" i="51"/>
  <c r="L14" i="51"/>
  <c r="K14" i="51"/>
  <c r="J14" i="51"/>
  <c r="I14" i="51"/>
  <c r="H14" i="51"/>
  <c r="G14" i="51"/>
  <c r="F14" i="51"/>
  <c r="E14" i="51"/>
  <c r="D14" i="51"/>
  <c r="C14" i="51"/>
  <c r="D9" i="51"/>
  <c r="C9" i="51"/>
  <c r="B9" i="51"/>
  <c r="C4" i="51"/>
  <c r="F180" i="51" s="1"/>
  <c r="C3" i="51"/>
  <c r="I208" i="51"/>
  <c r="J25" i="51"/>
  <c r="G20" i="51"/>
  <c r="E103" i="18"/>
  <c r="E103" i="46"/>
  <c r="I155" i="49"/>
  <c r="H155" i="49"/>
  <c r="G155" i="49"/>
  <c r="F155" i="49"/>
  <c r="E155" i="49"/>
  <c r="D155" i="49"/>
  <c r="C155" i="49"/>
  <c r="B155" i="49"/>
  <c r="A155" i="49"/>
  <c r="C150" i="49"/>
  <c r="B150" i="49"/>
  <c r="L146" i="49"/>
  <c r="K146" i="49"/>
  <c r="J146" i="49"/>
  <c r="I146" i="49"/>
  <c r="H146" i="49"/>
  <c r="G146" i="49"/>
  <c r="F146" i="49"/>
  <c r="E146" i="49"/>
  <c r="D146" i="49"/>
  <c r="C146" i="49"/>
  <c r="B146" i="49"/>
  <c r="A146" i="49"/>
  <c r="P142" i="49"/>
  <c r="O142" i="49"/>
  <c r="N142" i="49"/>
  <c r="M142" i="49"/>
  <c r="L142" i="49"/>
  <c r="K142" i="49"/>
  <c r="J142" i="49"/>
  <c r="I142" i="49"/>
  <c r="H142" i="49"/>
  <c r="G142" i="49"/>
  <c r="F142" i="49"/>
  <c r="E142" i="49"/>
  <c r="D142" i="49"/>
  <c r="C142" i="49"/>
  <c r="B142" i="49"/>
  <c r="A142" i="49"/>
  <c r="F137" i="49"/>
  <c r="E137" i="49"/>
  <c r="D137" i="49"/>
  <c r="C137" i="49"/>
  <c r="B137" i="49"/>
  <c r="C132" i="49"/>
  <c r="B132" i="49"/>
  <c r="H127" i="49"/>
  <c r="G127" i="49"/>
  <c r="F127" i="49"/>
  <c r="E127" i="49"/>
  <c r="D127" i="49"/>
  <c r="C127" i="49"/>
  <c r="B127" i="49"/>
  <c r="B121" i="49"/>
  <c r="B118" i="49"/>
  <c r="G113" i="49"/>
  <c r="F113" i="49"/>
  <c r="E113" i="49"/>
  <c r="D113" i="49"/>
  <c r="C113" i="49"/>
  <c r="B113" i="49"/>
  <c r="I107" i="49"/>
  <c r="H107" i="49"/>
  <c r="G107" i="49"/>
  <c r="F107" i="49"/>
  <c r="E107" i="49"/>
  <c r="D107" i="49"/>
  <c r="C107" i="49"/>
  <c r="I102" i="49"/>
  <c r="H102" i="49"/>
  <c r="G102" i="49"/>
  <c r="F102" i="49"/>
  <c r="E102" i="49"/>
  <c r="D102" i="49"/>
  <c r="C102" i="49"/>
  <c r="F97" i="49"/>
  <c r="I108" i="49" s="1"/>
  <c r="E97" i="49"/>
  <c r="D97" i="49"/>
  <c r="C97" i="49"/>
  <c r="I103" i="49" s="1"/>
  <c r="C92" i="49"/>
  <c r="B92" i="49"/>
  <c r="D98" i="49" s="1"/>
  <c r="G86" i="49"/>
  <c r="F86" i="49"/>
  <c r="E86" i="49"/>
  <c r="D86" i="49"/>
  <c r="C86" i="49"/>
  <c r="H81" i="49"/>
  <c r="G81" i="49"/>
  <c r="F81" i="49"/>
  <c r="E81" i="49"/>
  <c r="D81" i="49"/>
  <c r="C81" i="49"/>
  <c r="I76" i="49"/>
  <c r="H76" i="49"/>
  <c r="G76" i="49"/>
  <c r="F76" i="49"/>
  <c r="E76" i="49"/>
  <c r="D76" i="49"/>
  <c r="C76" i="49"/>
  <c r="B76" i="49"/>
  <c r="G71" i="49"/>
  <c r="F71" i="49"/>
  <c r="E71" i="49"/>
  <c r="D71" i="49"/>
  <c r="C71" i="49"/>
  <c r="H66" i="49"/>
  <c r="G66" i="49"/>
  <c r="F66" i="49"/>
  <c r="E66" i="49"/>
  <c r="D66" i="49"/>
  <c r="C66" i="49"/>
  <c r="I61" i="49"/>
  <c r="H61" i="49"/>
  <c r="G61" i="49"/>
  <c r="F61" i="49"/>
  <c r="E61" i="49"/>
  <c r="D61" i="49"/>
  <c r="C61" i="49"/>
  <c r="B61" i="49"/>
  <c r="L55" i="49"/>
  <c r="K55" i="49"/>
  <c r="J55" i="49"/>
  <c r="I55" i="49"/>
  <c r="H55" i="49"/>
  <c r="G55" i="49"/>
  <c r="F55" i="49"/>
  <c r="E55" i="49"/>
  <c r="D55" i="49"/>
  <c r="C55" i="49"/>
  <c r="B55" i="49"/>
  <c r="C50" i="49"/>
  <c r="B50" i="49"/>
  <c r="D50" i="49" s="1"/>
  <c r="K45" i="49"/>
  <c r="J45" i="49"/>
  <c r="I45" i="49"/>
  <c r="H45" i="49"/>
  <c r="G45" i="49"/>
  <c r="F45" i="49"/>
  <c r="E45" i="49"/>
  <c r="D45" i="49"/>
  <c r="C45" i="49"/>
  <c r="M40" i="49"/>
  <c r="L40" i="49"/>
  <c r="K40" i="49"/>
  <c r="J40" i="49"/>
  <c r="I40" i="49"/>
  <c r="H40" i="49"/>
  <c r="G40" i="49"/>
  <c r="F40" i="49"/>
  <c r="E40" i="49"/>
  <c r="D40" i="49"/>
  <c r="D41" i="49" s="1"/>
  <c r="C40" i="49"/>
  <c r="F35" i="49"/>
  <c r="E35" i="49"/>
  <c r="D35" i="49"/>
  <c r="C35" i="49"/>
  <c r="K41" i="49" s="1"/>
  <c r="C30" i="49"/>
  <c r="B30" i="49"/>
  <c r="D30" i="49" s="1"/>
  <c r="A26" i="49"/>
  <c r="I22" i="49"/>
  <c r="H22" i="49"/>
  <c r="G22" i="49"/>
  <c r="F22" i="49"/>
  <c r="E22" i="49"/>
  <c r="D22" i="49"/>
  <c r="C22" i="49"/>
  <c r="B22" i="49"/>
  <c r="D17" i="49"/>
  <c r="C17" i="49"/>
  <c r="C12" i="49"/>
  <c r="B12" i="49"/>
  <c r="D8" i="49"/>
  <c r="D7" i="49"/>
  <c r="C7" i="49"/>
  <c r="B7" i="49"/>
  <c r="E7" i="49" s="1"/>
  <c r="B3" i="49"/>
  <c r="B151" i="49" s="1"/>
  <c r="D132" i="49"/>
  <c r="F103" i="49"/>
  <c r="G46" i="49"/>
  <c r="D36" i="49"/>
  <c r="L207" i="48"/>
  <c r="K207" i="48"/>
  <c r="J207" i="48"/>
  <c r="I207" i="48"/>
  <c r="H207" i="48"/>
  <c r="G207" i="48"/>
  <c r="F207" i="48"/>
  <c r="E207" i="48"/>
  <c r="D207" i="48"/>
  <c r="C207" i="48"/>
  <c r="B207" i="48"/>
  <c r="A207" i="48"/>
  <c r="H201" i="48"/>
  <c r="G201" i="48"/>
  <c r="F201" i="48"/>
  <c r="E201" i="48"/>
  <c r="D201" i="48"/>
  <c r="D196" i="48"/>
  <c r="E196" i="48" s="1"/>
  <c r="C196" i="48"/>
  <c r="N191" i="48"/>
  <c r="M191" i="48"/>
  <c r="L191" i="48"/>
  <c r="K191" i="48"/>
  <c r="J191" i="48"/>
  <c r="I191" i="48"/>
  <c r="H191" i="48"/>
  <c r="G191" i="48"/>
  <c r="F191" i="48"/>
  <c r="E191" i="48"/>
  <c r="D191" i="48"/>
  <c r="C191" i="48"/>
  <c r="I186" i="48"/>
  <c r="H186" i="48"/>
  <c r="G186" i="48"/>
  <c r="F186" i="48"/>
  <c r="E186" i="48"/>
  <c r="D186" i="48"/>
  <c r="C186" i="48"/>
  <c r="C181" i="48"/>
  <c r="B181" i="48"/>
  <c r="M177" i="48"/>
  <c r="L177" i="48"/>
  <c r="K177" i="48"/>
  <c r="J177" i="48"/>
  <c r="I177" i="48"/>
  <c r="H177" i="48"/>
  <c r="G177" i="48"/>
  <c r="F177" i="48"/>
  <c r="E177" i="48"/>
  <c r="D177" i="48"/>
  <c r="C177" i="48"/>
  <c r="B177" i="48"/>
  <c r="A177" i="48"/>
  <c r="J173" i="48"/>
  <c r="I173" i="48"/>
  <c r="H173" i="48"/>
  <c r="G173" i="48"/>
  <c r="F173" i="48"/>
  <c r="E173" i="48"/>
  <c r="D173" i="48"/>
  <c r="C173" i="48"/>
  <c r="B173" i="48"/>
  <c r="A173" i="48"/>
  <c r="F168" i="48"/>
  <c r="E168" i="48"/>
  <c r="D168" i="48"/>
  <c r="C168" i="48"/>
  <c r="B168" i="48"/>
  <c r="F164" i="48"/>
  <c r="E164" i="48"/>
  <c r="D164" i="48"/>
  <c r="C164" i="48"/>
  <c r="B164" i="48"/>
  <c r="A164" i="48"/>
  <c r="A160" i="48"/>
  <c r="G158" i="48"/>
  <c r="F158" i="48"/>
  <c r="A157" i="48"/>
  <c r="C153" i="48"/>
  <c r="B153" i="48"/>
  <c r="G159" i="48" s="1"/>
  <c r="D148" i="48"/>
  <c r="C148" i="48"/>
  <c r="E148" i="48" s="1"/>
  <c r="B148" i="48"/>
  <c r="D141" i="48"/>
  <c r="C141" i="48"/>
  <c r="B141" i="48"/>
  <c r="E141" i="48" s="1"/>
  <c r="D136" i="48"/>
  <c r="C136" i="48"/>
  <c r="B136" i="48"/>
  <c r="A132" i="48"/>
  <c r="A129" i="48"/>
  <c r="A126" i="48"/>
  <c r="J122" i="48"/>
  <c r="I122" i="48"/>
  <c r="H122" i="48"/>
  <c r="G122" i="48"/>
  <c r="F122" i="48"/>
  <c r="E122" i="48"/>
  <c r="E123" i="48" s="1"/>
  <c r="D122" i="48"/>
  <c r="D123" i="48" s="1"/>
  <c r="C122" i="48"/>
  <c r="I117" i="48"/>
  <c r="H117" i="48"/>
  <c r="H118" i="48" s="1"/>
  <c r="G117" i="48"/>
  <c r="F117" i="48"/>
  <c r="E117" i="48"/>
  <c r="D117" i="48"/>
  <c r="C117" i="48"/>
  <c r="F112" i="48"/>
  <c r="E112" i="48"/>
  <c r="G118" i="48" s="1"/>
  <c r="D112" i="48"/>
  <c r="H123" i="48" s="1"/>
  <c r="C112" i="48"/>
  <c r="C107" i="48"/>
  <c r="B107" i="48"/>
  <c r="A103" i="48"/>
  <c r="A101" i="48"/>
  <c r="E96" i="48"/>
  <c r="A96" i="48"/>
  <c r="D98" i="48" s="1"/>
  <c r="E91" i="48"/>
  <c r="D93" i="48" s="1"/>
  <c r="A91" i="48"/>
  <c r="K86" i="48"/>
  <c r="J86" i="48"/>
  <c r="I86" i="48"/>
  <c r="I87" i="48" s="1"/>
  <c r="H86" i="48"/>
  <c r="G86" i="48"/>
  <c r="F86" i="48"/>
  <c r="E86" i="48"/>
  <c r="D86" i="48"/>
  <c r="C86" i="48"/>
  <c r="C81" i="48"/>
  <c r="B81" i="48"/>
  <c r="H87" i="48" s="1"/>
  <c r="D76" i="48"/>
  <c r="D77" i="48" s="1"/>
  <c r="C76" i="48"/>
  <c r="C72" i="48"/>
  <c r="C70" i="48"/>
  <c r="D66" i="48"/>
  <c r="D67" i="48" s="1"/>
  <c r="C66" i="48"/>
  <c r="B62" i="48"/>
  <c r="C58" i="48"/>
  <c r="B58" i="48"/>
  <c r="L53" i="48"/>
  <c r="K53" i="48"/>
  <c r="J53" i="48"/>
  <c r="I53" i="48"/>
  <c r="H53" i="48"/>
  <c r="G53" i="48"/>
  <c r="F53" i="48"/>
  <c r="E53" i="48"/>
  <c r="D53" i="48"/>
  <c r="C53" i="48"/>
  <c r="B53" i="48"/>
  <c r="H48" i="48"/>
  <c r="G48" i="48"/>
  <c r="F48" i="48"/>
  <c r="E48" i="48"/>
  <c r="D48" i="48"/>
  <c r="C48" i="48"/>
  <c r="B48" i="48"/>
  <c r="G43" i="48"/>
  <c r="F43" i="48"/>
  <c r="E43" i="48"/>
  <c r="D43" i="48"/>
  <c r="C43" i="48"/>
  <c r="J38" i="48"/>
  <c r="J39" i="48" s="1"/>
  <c r="I38" i="48"/>
  <c r="H38" i="48"/>
  <c r="G38" i="48"/>
  <c r="G39" i="48" s="1"/>
  <c r="F38" i="48"/>
  <c r="F39" i="48" s="1"/>
  <c r="E38" i="48"/>
  <c r="D38" i="48"/>
  <c r="C38" i="48"/>
  <c r="G49" i="48" s="1"/>
  <c r="G33" i="48"/>
  <c r="F33" i="48"/>
  <c r="E33" i="48"/>
  <c r="E34" i="48" s="1"/>
  <c r="D33" i="48"/>
  <c r="C33" i="48"/>
  <c r="K28" i="48"/>
  <c r="J28" i="48"/>
  <c r="I28" i="48"/>
  <c r="H28" i="48"/>
  <c r="G28" i="48"/>
  <c r="F28" i="48"/>
  <c r="E28" i="48"/>
  <c r="D28" i="48"/>
  <c r="C28" i="48"/>
  <c r="D23" i="48"/>
  <c r="C23" i="48"/>
  <c r="J29" i="48" s="1"/>
  <c r="B23" i="48"/>
  <c r="D18" i="48"/>
  <c r="C18" i="48"/>
  <c r="B18" i="48"/>
  <c r="F12" i="48"/>
  <c r="E12" i="48"/>
  <c r="D12" i="48"/>
  <c r="C12" i="48"/>
  <c r="B12" i="48"/>
  <c r="D7" i="48"/>
  <c r="C7" i="48"/>
  <c r="B7" i="48"/>
  <c r="F7" i="48" s="1"/>
  <c r="B3" i="48"/>
  <c r="G54" i="48" s="1"/>
  <c r="J192" i="48"/>
  <c r="F192" i="48"/>
  <c r="F187" i="48"/>
  <c r="C118" i="48"/>
  <c r="E113" i="48"/>
  <c r="D113" i="48"/>
  <c r="C113" i="48"/>
  <c r="D87" i="48"/>
  <c r="E76" i="48"/>
  <c r="C77" i="48"/>
  <c r="E77" i="48" s="1"/>
  <c r="F44" i="48"/>
  <c r="D44" i="48"/>
  <c r="I39" i="48"/>
  <c r="E18" i="48"/>
  <c r="C303" i="47"/>
  <c r="B303" i="47"/>
  <c r="C298" i="47"/>
  <c r="B298" i="47"/>
  <c r="C293" i="47"/>
  <c r="B293" i="47"/>
  <c r="C288" i="47"/>
  <c r="B288" i="47"/>
  <c r="C283" i="47"/>
  <c r="B283" i="47"/>
  <c r="C278" i="47"/>
  <c r="B278" i="47"/>
  <c r="C273" i="47"/>
  <c r="B273" i="47"/>
  <c r="D273" i="47" s="1"/>
  <c r="H268" i="47"/>
  <c r="G268" i="47"/>
  <c r="F268" i="47"/>
  <c r="E268" i="47"/>
  <c r="D268" i="47"/>
  <c r="D263" i="47"/>
  <c r="C263" i="47"/>
  <c r="J258" i="47"/>
  <c r="I258" i="47"/>
  <c r="H258" i="47"/>
  <c r="G258" i="47"/>
  <c r="F258" i="47"/>
  <c r="E258" i="47"/>
  <c r="D258" i="47"/>
  <c r="C258" i="47"/>
  <c r="C253" i="47"/>
  <c r="B253" i="47"/>
  <c r="C264" i="47" s="1"/>
  <c r="C248" i="47"/>
  <c r="B248" i="47"/>
  <c r="C243" i="47"/>
  <c r="B243" i="47"/>
  <c r="D243" i="47" s="1"/>
  <c r="J238" i="47"/>
  <c r="J239" i="47" s="1"/>
  <c r="I238" i="47"/>
  <c r="H238" i="47"/>
  <c r="G238" i="47"/>
  <c r="G239" i="47" s="1"/>
  <c r="F238" i="47"/>
  <c r="E238" i="47"/>
  <c r="D238" i="47"/>
  <c r="C238" i="47"/>
  <c r="C233" i="47"/>
  <c r="D233" i="47" s="1"/>
  <c r="B233" i="47"/>
  <c r="M228" i="47"/>
  <c r="L228" i="47"/>
  <c r="K228" i="47"/>
  <c r="J228" i="47"/>
  <c r="I228" i="47"/>
  <c r="H228" i="47"/>
  <c r="G228" i="47"/>
  <c r="F228" i="47"/>
  <c r="E228" i="47"/>
  <c r="D228" i="47"/>
  <c r="C228" i="47"/>
  <c r="B228" i="47"/>
  <c r="A228" i="47"/>
  <c r="H223" i="47"/>
  <c r="G223" i="47"/>
  <c r="F223" i="47"/>
  <c r="E223" i="47"/>
  <c r="D223" i="47"/>
  <c r="D218" i="47"/>
  <c r="C218" i="47"/>
  <c r="O213" i="47"/>
  <c r="N213" i="47"/>
  <c r="M213" i="47"/>
  <c r="L213" i="47"/>
  <c r="K213" i="47"/>
  <c r="J213" i="47"/>
  <c r="I213" i="47"/>
  <c r="H213" i="47"/>
  <c r="G213" i="47"/>
  <c r="F213" i="47"/>
  <c r="E213" i="47"/>
  <c r="D213" i="47"/>
  <c r="C213" i="47"/>
  <c r="I207" i="47"/>
  <c r="H207" i="47"/>
  <c r="G207" i="47"/>
  <c r="F207" i="47"/>
  <c r="E207" i="47"/>
  <c r="D207" i="47"/>
  <c r="C207" i="47"/>
  <c r="C202" i="47"/>
  <c r="B202" i="47"/>
  <c r="K214" i="47" s="1"/>
  <c r="L198" i="47"/>
  <c r="K198" i="47"/>
  <c r="J198" i="47"/>
  <c r="I198" i="47"/>
  <c r="H198" i="47"/>
  <c r="G198" i="47"/>
  <c r="F198" i="47"/>
  <c r="E198" i="47"/>
  <c r="D198" i="47"/>
  <c r="C198" i="47"/>
  <c r="B198" i="47"/>
  <c r="A198" i="47"/>
  <c r="P194" i="47"/>
  <c r="O194" i="47"/>
  <c r="N194" i="47"/>
  <c r="M194" i="47"/>
  <c r="L194" i="47"/>
  <c r="K194" i="47"/>
  <c r="J194" i="47"/>
  <c r="I194" i="47"/>
  <c r="H194" i="47"/>
  <c r="G194" i="47"/>
  <c r="F194" i="47"/>
  <c r="E194" i="47"/>
  <c r="D194" i="47"/>
  <c r="C194" i="47"/>
  <c r="B194" i="47"/>
  <c r="A194" i="47"/>
  <c r="F189" i="47"/>
  <c r="E189" i="47"/>
  <c r="D189" i="47"/>
  <c r="C189" i="47"/>
  <c r="B189" i="47"/>
  <c r="C184" i="47"/>
  <c r="B184" i="47"/>
  <c r="G179" i="47"/>
  <c r="F179" i="47"/>
  <c r="E179" i="47"/>
  <c r="D179" i="47"/>
  <c r="C179" i="47"/>
  <c r="B179" i="47"/>
  <c r="E173" i="47"/>
  <c r="E172" i="47"/>
  <c r="E171" i="47"/>
  <c r="E170" i="47"/>
  <c r="E169" i="47"/>
  <c r="E168" i="47"/>
  <c r="E167" i="47"/>
  <c r="E166" i="47"/>
  <c r="G162" i="47"/>
  <c r="F162" i="47"/>
  <c r="E162" i="47"/>
  <c r="D162" i="47"/>
  <c r="C162" i="47"/>
  <c r="B162" i="47"/>
  <c r="M157" i="47"/>
  <c r="L157" i="47"/>
  <c r="K157" i="47"/>
  <c r="J157" i="47"/>
  <c r="I157" i="47"/>
  <c r="H157" i="47"/>
  <c r="G157" i="47"/>
  <c r="F157" i="47"/>
  <c r="E157" i="47"/>
  <c r="D157" i="47"/>
  <c r="J152" i="47"/>
  <c r="I152" i="47"/>
  <c r="H152" i="47"/>
  <c r="H153" i="47" s="1"/>
  <c r="G152" i="47"/>
  <c r="F152" i="47"/>
  <c r="E152" i="47"/>
  <c r="D152" i="47"/>
  <c r="F147" i="47"/>
  <c r="E147" i="47"/>
  <c r="D147" i="47"/>
  <c r="C147" i="47"/>
  <c r="C148" i="47" s="1"/>
  <c r="C142" i="47"/>
  <c r="D142" i="47" s="1"/>
  <c r="B142" i="47"/>
  <c r="E138" i="47"/>
  <c r="F134" i="47"/>
  <c r="E134" i="47"/>
  <c r="D134" i="47"/>
  <c r="C134" i="47"/>
  <c r="B134" i="47"/>
  <c r="C129" i="47"/>
  <c r="D129" i="47" s="1"/>
  <c r="B129" i="47"/>
  <c r="G123" i="47"/>
  <c r="F123" i="47"/>
  <c r="E123" i="47"/>
  <c r="D123" i="47"/>
  <c r="C123" i="47"/>
  <c r="B123" i="47"/>
  <c r="K118" i="47"/>
  <c r="J118" i="47"/>
  <c r="I118" i="47"/>
  <c r="H118" i="47"/>
  <c r="G118" i="47"/>
  <c r="F118" i="47"/>
  <c r="E118" i="47"/>
  <c r="D118" i="47"/>
  <c r="K113" i="47"/>
  <c r="J113" i="47"/>
  <c r="I113" i="47"/>
  <c r="H113" i="47"/>
  <c r="G113" i="47"/>
  <c r="F113" i="47"/>
  <c r="E113" i="47"/>
  <c r="D113" i="47"/>
  <c r="G108" i="47"/>
  <c r="J119" i="47" s="1"/>
  <c r="F108" i="47"/>
  <c r="E108" i="47"/>
  <c r="D108" i="47"/>
  <c r="J114" i="47" s="1"/>
  <c r="D103" i="47"/>
  <c r="C103" i="47"/>
  <c r="D97" i="47"/>
  <c r="C97" i="47"/>
  <c r="B97" i="47"/>
  <c r="N92" i="47"/>
  <c r="M92" i="47"/>
  <c r="L92" i="47"/>
  <c r="K92" i="47"/>
  <c r="J92" i="47"/>
  <c r="I92" i="47"/>
  <c r="H92" i="47"/>
  <c r="G92" i="47"/>
  <c r="F92" i="47"/>
  <c r="E92" i="47"/>
  <c r="D92" i="47"/>
  <c r="C92" i="47"/>
  <c r="B92" i="47"/>
  <c r="F86" i="47"/>
  <c r="E86" i="47"/>
  <c r="D86" i="47"/>
  <c r="C86" i="47"/>
  <c r="C81" i="47"/>
  <c r="B81" i="47"/>
  <c r="D81" i="47" s="1"/>
  <c r="G76" i="47"/>
  <c r="F76" i="47"/>
  <c r="E76" i="47"/>
  <c r="D76" i="47"/>
  <c r="D77" i="47" s="1"/>
  <c r="C76" i="47"/>
  <c r="C71" i="47"/>
  <c r="B71" i="47"/>
  <c r="D66" i="47"/>
  <c r="C66" i="47"/>
  <c r="E62" i="47"/>
  <c r="E60" i="47"/>
  <c r="D57" i="47"/>
  <c r="C57" i="47"/>
  <c r="B53" i="47"/>
  <c r="D49" i="47"/>
  <c r="C49" i="47"/>
  <c r="B49" i="47"/>
  <c r="J44" i="47"/>
  <c r="I44" i="47"/>
  <c r="H44" i="47"/>
  <c r="G44" i="47"/>
  <c r="F44" i="47"/>
  <c r="E44" i="47"/>
  <c r="D44" i="47"/>
  <c r="C44" i="47"/>
  <c r="B44" i="47"/>
  <c r="E39" i="47"/>
  <c r="D39" i="47"/>
  <c r="C39" i="47"/>
  <c r="C34" i="47"/>
  <c r="B34" i="47"/>
  <c r="G29" i="47"/>
  <c r="F29" i="47"/>
  <c r="E29" i="47"/>
  <c r="D29" i="47"/>
  <c r="C29" i="47"/>
  <c r="L24" i="47"/>
  <c r="L25" i="47" s="1"/>
  <c r="K24" i="47"/>
  <c r="J24" i="47"/>
  <c r="J25" i="47" s="1"/>
  <c r="I24" i="47"/>
  <c r="I25" i="47" s="1"/>
  <c r="H24" i="47"/>
  <c r="H25" i="47" s="1"/>
  <c r="G24" i="47"/>
  <c r="F24" i="47"/>
  <c r="F25" i="47" s="1"/>
  <c r="E24" i="47"/>
  <c r="E25" i="47" s="1"/>
  <c r="D24" i="47"/>
  <c r="D25" i="47" s="1"/>
  <c r="C24" i="47"/>
  <c r="G19" i="47"/>
  <c r="G20" i="47" s="1"/>
  <c r="F19" i="47"/>
  <c r="F20" i="47" s="1"/>
  <c r="E19" i="47"/>
  <c r="E20" i="47" s="1"/>
  <c r="D19" i="47"/>
  <c r="C19" i="47"/>
  <c r="C20" i="47" s="1"/>
  <c r="H20" i="47" s="1"/>
  <c r="M14" i="47"/>
  <c r="L14" i="47"/>
  <c r="K14" i="47"/>
  <c r="J14" i="47"/>
  <c r="I14" i="47"/>
  <c r="H14" i="47"/>
  <c r="G14" i="47"/>
  <c r="F14" i="47"/>
  <c r="E14" i="47"/>
  <c r="D14" i="47"/>
  <c r="C14" i="47"/>
  <c r="D9" i="47"/>
  <c r="E30" i="47" s="1"/>
  <c r="C9" i="47"/>
  <c r="B9" i="47"/>
  <c r="C4" i="47"/>
  <c r="B185" i="47" s="1"/>
  <c r="C3" i="47"/>
  <c r="D293" i="47"/>
  <c r="E263" i="47"/>
  <c r="I239" i="47"/>
  <c r="E239" i="47"/>
  <c r="D239" i="47"/>
  <c r="C239" i="47"/>
  <c r="C208" i="47"/>
  <c r="D148" i="47"/>
  <c r="F109" i="47"/>
  <c r="F77" i="47"/>
  <c r="F30" i="47"/>
  <c r="K25" i="47"/>
  <c r="G25" i="47"/>
  <c r="C25" i="47"/>
  <c r="D20" i="47"/>
  <c r="M167" i="46"/>
  <c r="L167" i="46"/>
  <c r="K167" i="46"/>
  <c r="J167" i="46"/>
  <c r="I167" i="46"/>
  <c r="H167" i="46"/>
  <c r="G167" i="46"/>
  <c r="F167" i="46"/>
  <c r="E167" i="46"/>
  <c r="D167" i="46"/>
  <c r="C167" i="46"/>
  <c r="B167" i="46"/>
  <c r="A167" i="46"/>
  <c r="H160" i="46"/>
  <c r="H161" i="46" s="1"/>
  <c r="G160" i="46"/>
  <c r="F160" i="46"/>
  <c r="E160" i="46"/>
  <c r="D160" i="46"/>
  <c r="D161" i="46" s="1"/>
  <c r="D155" i="46"/>
  <c r="C155" i="46"/>
  <c r="O150" i="46"/>
  <c r="N150" i="46"/>
  <c r="M150" i="46"/>
  <c r="L150" i="46"/>
  <c r="K150" i="46"/>
  <c r="J150" i="46"/>
  <c r="I150" i="46"/>
  <c r="H150" i="46"/>
  <c r="G150" i="46"/>
  <c r="F150" i="46"/>
  <c r="F151" i="46" s="1"/>
  <c r="E150" i="46"/>
  <c r="E151" i="46" s="1"/>
  <c r="D150" i="46"/>
  <c r="C150" i="46"/>
  <c r="I145" i="46"/>
  <c r="I146" i="46" s="1"/>
  <c r="H145" i="46"/>
  <c r="G145" i="46"/>
  <c r="F145" i="46"/>
  <c r="E145" i="46"/>
  <c r="D145" i="46"/>
  <c r="C145" i="46"/>
  <c r="C140" i="46"/>
  <c r="B140" i="46"/>
  <c r="D140" i="46" s="1"/>
  <c r="L136" i="46"/>
  <c r="K136" i="46"/>
  <c r="J136" i="46"/>
  <c r="I136" i="46"/>
  <c r="H136" i="46"/>
  <c r="G136" i="46"/>
  <c r="F136" i="46"/>
  <c r="E136" i="46"/>
  <c r="D136" i="46"/>
  <c r="C136" i="46"/>
  <c r="B136" i="46"/>
  <c r="A136" i="46"/>
  <c r="L132" i="46"/>
  <c r="K132" i="46"/>
  <c r="J132" i="46"/>
  <c r="I132" i="46"/>
  <c r="H132" i="46"/>
  <c r="G132" i="46"/>
  <c r="F132" i="46"/>
  <c r="E132" i="46"/>
  <c r="D132" i="46"/>
  <c r="C132" i="46"/>
  <c r="B132" i="46"/>
  <c r="A132" i="46"/>
  <c r="F127" i="46"/>
  <c r="E127" i="46"/>
  <c r="D127" i="46"/>
  <c r="C127" i="46"/>
  <c r="B127" i="46"/>
  <c r="D122" i="46"/>
  <c r="C122" i="46"/>
  <c r="B122" i="46"/>
  <c r="B123" i="46" s="1"/>
  <c r="E123" i="46" s="1"/>
  <c r="I117" i="46"/>
  <c r="H117" i="46"/>
  <c r="G117" i="46"/>
  <c r="F117" i="46"/>
  <c r="F118" i="46" s="1"/>
  <c r="E117" i="46"/>
  <c r="D117" i="46"/>
  <c r="C117" i="46"/>
  <c r="B117" i="46"/>
  <c r="G113" i="46"/>
  <c r="F113" i="46"/>
  <c r="E113" i="46"/>
  <c r="D113" i="46"/>
  <c r="C113" i="46"/>
  <c r="B113" i="46"/>
  <c r="F108" i="46"/>
  <c r="E108" i="46"/>
  <c r="E109" i="46" s="1"/>
  <c r="D108" i="46"/>
  <c r="C108" i="46"/>
  <c r="D103" i="46"/>
  <c r="C103" i="46"/>
  <c r="B99" i="46"/>
  <c r="C95" i="46"/>
  <c r="B95" i="46"/>
  <c r="D90" i="46"/>
  <c r="C90" i="46"/>
  <c r="B90" i="46"/>
  <c r="I83" i="46"/>
  <c r="H83" i="46"/>
  <c r="G83" i="46"/>
  <c r="F83" i="46"/>
  <c r="E83" i="46"/>
  <c r="D83" i="46"/>
  <c r="C83" i="46"/>
  <c r="J78" i="46"/>
  <c r="I78" i="46"/>
  <c r="I79" i="46" s="1"/>
  <c r="H78" i="46"/>
  <c r="G78" i="46"/>
  <c r="F78" i="46"/>
  <c r="E78" i="46"/>
  <c r="D78" i="46"/>
  <c r="D79" i="46" s="1"/>
  <c r="C78" i="46"/>
  <c r="F73" i="46"/>
  <c r="E73" i="46"/>
  <c r="D73" i="46"/>
  <c r="I84" i="46" s="1"/>
  <c r="C73" i="46"/>
  <c r="C74" i="46" s="1"/>
  <c r="C68" i="46"/>
  <c r="B68" i="46"/>
  <c r="H63" i="46"/>
  <c r="G63" i="46"/>
  <c r="F63" i="46"/>
  <c r="E63" i="46"/>
  <c r="D63" i="46"/>
  <c r="C63" i="46"/>
  <c r="B63" i="46"/>
  <c r="F58" i="46"/>
  <c r="E58" i="46"/>
  <c r="D58" i="46"/>
  <c r="C58" i="46"/>
  <c r="B58" i="46"/>
  <c r="H53" i="46"/>
  <c r="G53" i="46"/>
  <c r="F53" i="46"/>
  <c r="E53" i="46"/>
  <c r="D53" i="46"/>
  <c r="C53" i="46"/>
  <c r="B53" i="46"/>
  <c r="A49" i="46"/>
  <c r="E45" i="46"/>
  <c r="D45" i="46"/>
  <c r="C45" i="46"/>
  <c r="B45" i="46"/>
  <c r="L38" i="46"/>
  <c r="K38" i="46"/>
  <c r="J38" i="46"/>
  <c r="I38" i="46"/>
  <c r="H38" i="46"/>
  <c r="G38" i="46"/>
  <c r="F38" i="46"/>
  <c r="E38" i="46"/>
  <c r="D38" i="46"/>
  <c r="C38" i="46"/>
  <c r="B38" i="46"/>
  <c r="H33" i="46"/>
  <c r="G33" i="46"/>
  <c r="G34" i="46" s="1"/>
  <c r="F33" i="46"/>
  <c r="E33" i="46"/>
  <c r="D33" i="46"/>
  <c r="I28" i="46"/>
  <c r="I29" i="46" s="1"/>
  <c r="H28" i="46"/>
  <c r="H29" i="46" s="1"/>
  <c r="G28" i="46"/>
  <c r="F28" i="46"/>
  <c r="E28" i="46"/>
  <c r="E29" i="46" s="1"/>
  <c r="D28" i="46"/>
  <c r="H23" i="46"/>
  <c r="G23" i="46"/>
  <c r="F23" i="46"/>
  <c r="E23" i="46"/>
  <c r="D23" i="46"/>
  <c r="F18" i="46"/>
  <c r="E18" i="46"/>
  <c r="D18" i="46"/>
  <c r="D13" i="46"/>
  <c r="C13" i="46"/>
  <c r="B13" i="46"/>
  <c r="H7" i="46"/>
  <c r="G7" i="46"/>
  <c r="F7" i="46"/>
  <c r="E7" i="46"/>
  <c r="D7" i="46"/>
  <c r="C7" i="46"/>
  <c r="B7" i="46"/>
  <c r="B3" i="46"/>
  <c r="B91" i="46" s="1"/>
  <c r="E161" i="46"/>
  <c r="C123" i="46"/>
  <c r="I118" i="46"/>
  <c r="F109" i="46"/>
  <c r="D104" i="46"/>
  <c r="H84" i="46"/>
  <c r="H79" i="46"/>
  <c r="E79" i="46"/>
  <c r="C79" i="46"/>
  <c r="H34" i="46"/>
  <c r="D34" i="46"/>
  <c r="F29" i="46"/>
  <c r="C113" i="23"/>
  <c r="B95" i="18"/>
  <c r="B63" i="18"/>
  <c r="H63" i="18"/>
  <c r="E23" i="18"/>
  <c r="H7" i="18"/>
  <c r="H161" i="62" l="1"/>
  <c r="F19" i="62"/>
  <c r="E19" i="62"/>
  <c r="J151" i="62"/>
  <c r="F109" i="62"/>
  <c r="B123" i="62"/>
  <c r="C113" i="52"/>
  <c r="D79" i="62"/>
  <c r="F74" i="62"/>
  <c r="D34" i="62"/>
  <c r="E74" i="62"/>
  <c r="I146" i="62"/>
  <c r="E109" i="51"/>
  <c r="F118" i="62"/>
  <c r="E45" i="51"/>
  <c r="E224" i="51"/>
  <c r="J15" i="51"/>
  <c r="N151" i="62"/>
  <c r="D94" i="72"/>
  <c r="I118" i="62"/>
  <c r="H146" i="62"/>
  <c r="I151" i="62"/>
  <c r="E29" i="62"/>
  <c r="D104" i="62"/>
  <c r="D140" i="62"/>
  <c r="E151" i="62"/>
  <c r="E77" i="51"/>
  <c r="F29" i="62"/>
  <c r="F146" i="62"/>
  <c r="G151" i="62"/>
  <c r="H29" i="62"/>
  <c r="E104" i="62"/>
  <c r="D146" i="62"/>
  <c r="H151" i="62"/>
  <c r="E146" i="62"/>
  <c r="K151" i="62"/>
  <c r="E118" i="62"/>
  <c r="M151" i="62"/>
  <c r="F151" i="62"/>
  <c r="H158" i="52"/>
  <c r="F192" i="52"/>
  <c r="G46" i="53"/>
  <c r="F79" i="62"/>
  <c r="F84" i="62"/>
  <c r="C118" i="62"/>
  <c r="C123" i="62"/>
  <c r="C151" i="62"/>
  <c r="E161" i="62"/>
  <c r="D98" i="52"/>
  <c r="D29" i="62"/>
  <c r="H187" i="52"/>
  <c r="D156" i="62"/>
  <c r="G161" i="62"/>
  <c r="D161" i="62"/>
  <c r="G159" i="52"/>
  <c r="G41" i="53"/>
  <c r="C109" i="62"/>
  <c r="I39" i="56"/>
  <c r="E113" i="56"/>
  <c r="C36" i="57"/>
  <c r="D133" i="57"/>
  <c r="F41" i="57"/>
  <c r="G109" i="57"/>
  <c r="H104" i="57"/>
  <c r="C45" i="55"/>
  <c r="C67" i="55"/>
  <c r="E87" i="56"/>
  <c r="I87" i="56"/>
  <c r="G202" i="56"/>
  <c r="E79" i="54"/>
  <c r="E122" i="54"/>
  <c r="C218" i="55"/>
  <c r="F268" i="55"/>
  <c r="J39" i="56"/>
  <c r="J29" i="56"/>
  <c r="C113" i="56"/>
  <c r="D118" i="56"/>
  <c r="D202" i="56"/>
  <c r="J41" i="57"/>
  <c r="F39" i="55"/>
  <c r="H153" i="55"/>
  <c r="F30" i="55"/>
  <c r="E45" i="55"/>
  <c r="G77" i="55"/>
  <c r="E153" i="55"/>
  <c r="E223" i="55"/>
  <c r="E99" i="67"/>
  <c r="B64" i="68"/>
  <c r="B154" i="71"/>
  <c r="B108" i="71"/>
  <c r="E67" i="71"/>
  <c r="D34" i="48"/>
  <c r="E29" i="48"/>
  <c r="D109" i="46"/>
  <c r="I151" i="46"/>
  <c r="D156" i="46"/>
  <c r="J153" i="47"/>
  <c r="K119" i="47"/>
  <c r="F190" i="47"/>
  <c r="D259" i="47"/>
  <c r="D264" i="47"/>
  <c r="F34" i="48"/>
  <c r="J87" i="48"/>
  <c r="E98" i="49"/>
  <c r="J151" i="46"/>
  <c r="G41" i="49"/>
  <c r="C108" i="49"/>
  <c r="H146" i="46"/>
  <c r="E74" i="46"/>
  <c r="E84" i="46"/>
  <c r="E118" i="46"/>
  <c r="G214" i="47"/>
  <c r="D39" i="48"/>
  <c r="G103" i="49"/>
  <c r="H41" i="49"/>
  <c r="E46" i="49"/>
  <c r="F108" i="49"/>
  <c r="C46" i="49"/>
  <c r="D29" i="48"/>
  <c r="E104" i="46"/>
  <c r="I123" i="48"/>
  <c r="G202" i="48"/>
  <c r="F153" i="47"/>
  <c r="G29" i="48"/>
  <c r="F87" i="48"/>
  <c r="H202" i="48"/>
  <c r="F98" i="49"/>
  <c r="L41" i="49"/>
  <c r="H108" i="49"/>
  <c r="E146" i="46"/>
  <c r="N151" i="46"/>
  <c r="E87" i="48"/>
  <c r="D24" i="46"/>
  <c r="G29" i="46"/>
  <c r="F74" i="46"/>
  <c r="J79" i="46"/>
  <c r="C109" i="46"/>
  <c r="G109" i="46" s="1"/>
  <c r="H118" i="46"/>
  <c r="G146" i="46"/>
  <c r="H151" i="46"/>
  <c r="C156" i="46"/>
  <c r="G259" i="47"/>
  <c r="F109" i="51"/>
  <c r="H45" i="47"/>
  <c r="E87" i="47"/>
  <c r="I158" i="47"/>
  <c r="G109" i="47"/>
  <c r="F119" i="47"/>
  <c r="G45" i="47"/>
  <c r="C45" i="47"/>
  <c r="D58" i="47"/>
  <c r="C67" i="47"/>
  <c r="E67" i="47" s="1"/>
  <c r="G77" i="47"/>
  <c r="H158" i="47"/>
  <c r="D158" i="47"/>
  <c r="L158" i="47"/>
  <c r="G224" i="47"/>
  <c r="F239" i="47"/>
  <c r="I119" i="47"/>
  <c r="L15" i="47"/>
  <c r="G30" i="47"/>
  <c r="H119" i="47"/>
  <c r="D119" i="47"/>
  <c r="E109" i="47"/>
  <c r="H239" i="47"/>
  <c r="D115" i="72"/>
  <c r="F72" i="72"/>
  <c r="C72" i="72"/>
  <c r="B8" i="72"/>
  <c r="E8" i="72" s="1"/>
  <c r="D83" i="72"/>
  <c r="C67" i="72"/>
  <c r="F62" i="72"/>
  <c r="E62" i="72"/>
  <c r="C115" i="72"/>
  <c r="E88" i="72"/>
  <c r="H62" i="72"/>
  <c r="C8" i="72"/>
  <c r="G115" i="72"/>
  <c r="G62" i="72"/>
  <c r="B23" i="72"/>
  <c r="D62" i="72"/>
  <c r="E46" i="68"/>
  <c r="B149" i="71"/>
  <c r="D72" i="72"/>
  <c r="B31" i="72"/>
  <c r="E83" i="72"/>
  <c r="E67" i="72"/>
  <c r="B62" i="72"/>
  <c r="E23" i="72"/>
  <c r="H23" i="72"/>
  <c r="B134" i="72"/>
  <c r="C142" i="71"/>
  <c r="E142" i="71" s="1"/>
  <c r="F115" i="72"/>
  <c r="C78" i="72"/>
  <c r="C62" i="72"/>
  <c r="F23" i="72"/>
  <c r="C31" i="72"/>
  <c r="I78" i="72"/>
  <c r="I62" i="72"/>
  <c r="F83" i="72"/>
  <c r="G67" i="72"/>
  <c r="C51" i="72"/>
  <c r="D88" i="72"/>
  <c r="D23" i="72"/>
  <c r="I23" i="72"/>
  <c r="F78" i="72"/>
  <c r="D142" i="71"/>
  <c r="E78" i="72"/>
  <c r="D78" i="72"/>
  <c r="C134" i="72"/>
  <c r="G78" i="72"/>
  <c r="D18" i="72"/>
  <c r="E18" i="72" s="1"/>
  <c r="G72" i="72"/>
  <c r="G83" i="72"/>
  <c r="F88" i="72"/>
  <c r="B78" i="72"/>
  <c r="G88" i="72"/>
  <c r="E115" i="72"/>
  <c r="D67" i="72"/>
  <c r="H67" i="72"/>
  <c r="B115" i="72"/>
  <c r="E72" i="72"/>
  <c r="C88" i="72"/>
  <c r="G46" i="67"/>
  <c r="E155" i="64"/>
  <c r="C77" i="66"/>
  <c r="G159" i="66"/>
  <c r="E67" i="70"/>
  <c r="I24" i="68"/>
  <c r="E58" i="70"/>
  <c r="C169" i="71"/>
  <c r="E104" i="70"/>
  <c r="C149" i="71"/>
  <c r="C46" i="68"/>
  <c r="B142" i="71"/>
  <c r="D82" i="71"/>
  <c r="D31" i="72"/>
  <c r="G148" i="70"/>
  <c r="L87" i="71"/>
  <c r="D141" i="68"/>
  <c r="D278" i="65"/>
  <c r="E104" i="67"/>
  <c r="K46" i="67"/>
  <c r="I87" i="66"/>
  <c r="D50" i="67"/>
  <c r="F46" i="67"/>
  <c r="B59" i="68"/>
  <c r="B46" i="68"/>
  <c r="D54" i="68"/>
  <c r="E59" i="68"/>
  <c r="B96" i="68"/>
  <c r="E14" i="68"/>
  <c r="D46" i="68"/>
  <c r="D64" i="68"/>
  <c r="E264" i="70"/>
  <c r="C59" i="68"/>
  <c r="G74" i="68"/>
  <c r="C64" i="68"/>
  <c r="D59" i="68"/>
  <c r="G64" i="68"/>
  <c r="G54" i="68"/>
  <c r="F54" i="68"/>
  <c r="C69" i="68"/>
  <c r="E9" i="55"/>
  <c r="C248" i="55" s="1"/>
  <c r="E104" i="57"/>
  <c r="D79" i="54"/>
  <c r="G153" i="55"/>
  <c r="J238" i="55"/>
  <c r="G39" i="56"/>
  <c r="E109" i="57"/>
  <c r="D30" i="55"/>
  <c r="E155" i="54"/>
  <c r="G44" i="56"/>
  <c r="F109" i="57"/>
  <c r="C46" i="57"/>
  <c r="E30" i="55"/>
  <c r="F77" i="55"/>
  <c r="E109" i="55"/>
  <c r="J158" i="55"/>
  <c r="J153" i="55"/>
  <c r="D183" i="55"/>
  <c r="H39" i="56"/>
  <c r="D98" i="56"/>
  <c r="J123" i="56"/>
  <c r="H118" i="56"/>
  <c r="E141" i="56"/>
  <c r="F104" i="57"/>
  <c r="C74" i="54"/>
  <c r="D123" i="54"/>
  <c r="D161" i="54"/>
  <c r="E23" i="56"/>
  <c r="M15" i="55"/>
  <c r="D45" i="55"/>
  <c r="D67" i="55"/>
  <c r="E67" i="55" s="1"/>
  <c r="F87" i="55"/>
  <c r="L93" i="55"/>
  <c r="G114" i="55"/>
  <c r="D30" i="57"/>
  <c r="D93" i="53"/>
  <c r="D19" i="62"/>
  <c r="F153" i="51"/>
  <c r="D77" i="52"/>
  <c r="G24" i="62"/>
  <c r="F41" i="53"/>
  <c r="F109" i="53"/>
  <c r="D50" i="53"/>
  <c r="E24" i="62"/>
  <c r="E30" i="51"/>
  <c r="F77" i="51"/>
  <c r="E46" i="53"/>
  <c r="D151" i="53"/>
  <c r="F146" i="46"/>
  <c r="K151" i="46"/>
  <c r="J123" i="48"/>
  <c r="D67" i="47"/>
  <c r="M158" i="47"/>
  <c r="I259" i="47"/>
  <c r="H224" i="47"/>
  <c r="D74" i="46"/>
  <c r="G118" i="46"/>
  <c r="O151" i="46"/>
  <c r="F114" i="47"/>
  <c r="F148" i="47"/>
  <c r="K158" i="47"/>
  <c r="E40" i="47"/>
  <c r="I45" i="47"/>
  <c r="E77" i="47"/>
  <c r="F87" i="47"/>
  <c r="E114" i="47"/>
  <c r="E119" i="47"/>
  <c r="E153" i="47"/>
  <c r="I153" i="47"/>
  <c r="J158" i="47"/>
  <c r="H29" i="48"/>
  <c r="G44" i="48"/>
  <c r="E41" i="49"/>
  <c r="C123" i="48"/>
  <c r="F202" i="48"/>
  <c r="E13" i="48"/>
  <c r="D49" i="48"/>
  <c r="E39" i="48"/>
  <c r="H43" i="48"/>
  <c r="E66" i="48"/>
  <c r="L86" i="48"/>
  <c r="K87" i="48"/>
  <c r="E107" i="48"/>
  <c r="F118" i="48"/>
  <c r="G123" i="48"/>
  <c r="E136" i="48"/>
  <c r="I192" i="48"/>
  <c r="I187" i="48"/>
  <c r="E202" i="48"/>
  <c r="D12" i="49"/>
  <c r="I41" i="49"/>
  <c r="F46" i="49"/>
  <c r="J56" i="49"/>
  <c r="I66" i="49"/>
  <c r="C103" i="49"/>
  <c r="E108" i="49"/>
  <c r="C151" i="49"/>
  <c r="E8" i="48"/>
  <c r="J41" i="49"/>
  <c r="D103" i="49"/>
  <c r="E17" i="49"/>
  <c r="C41" i="49"/>
  <c r="H46" i="49"/>
  <c r="D56" i="49"/>
  <c r="L56" i="49"/>
  <c r="H71" i="49"/>
  <c r="I81" i="49"/>
  <c r="D92" i="49"/>
  <c r="G108" i="49"/>
  <c r="F138" i="49"/>
  <c r="H114" i="47"/>
  <c r="E158" i="47"/>
  <c r="I208" i="47"/>
  <c r="C49" i="48"/>
  <c r="C39" i="48"/>
  <c r="F123" i="48"/>
  <c r="F29" i="48"/>
  <c r="C8" i="46"/>
  <c r="E13" i="46"/>
  <c r="H64" i="46" s="1"/>
  <c r="H24" i="46"/>
  <c r="E34" i="46"/>
  <c r="F45" i="46"/>
  <c r="I53" i="46"/>
  <c r="D68" i="46"/>
  <c r="F79" i="46"/>
  <c r="F84" i="46"/>
  <c r="H113" i="46"/>
  <c r="J117" i="46"/>
  <c r="C146" i="46"/>
  <c r="D151" i="46"/>
  <c r="L151" i="46"/>
  <c r="F161" i="46"/>
  <c r="J45" i="47"/>
  <c r="F224" i="47"/>
  <c r="E269" i="47"/>
  <c r="G87" i="48"/>
  <c r="E118" i="48"/>
  <c r="D202" i="48"/>
  <c r="D8" i="48"/>
  <c r="D19" i="48"/>
  <c r="G97" i="49"/>
  <c r="H103" i="49"/>
  <c r="M41" i="49"/>
  <c r="G8" i="46"/>
  <c r="J39" i="46"/>
  <c r="E45" i="47"/>
  <c r="F45" i="47"/>
  <c r="I15" i="47"/>
  <c r="D45" i="47"/>
  <c r="H179" i="47"/>
  <c r="D224" i="47"/>
  <c r="H269" i="47"/>
  <c r="C151" i="46"/>
  <c r="E224" i="47"/>
  <c r="D118" i="46"/>
  <c r="D123" i="46"/>
  <c r="G151" i="46"/>
  <c r="D8" i="46"/>
  <c r="D19" i="46"/>
  <c r="D29" i="46"/>
  <c r="F34" i="46"/>
  <c r="G73" i="46"/>
  <c r="G79" i="46"/>
  <c r="G84" i="46"/>
  <c r="D146" i="46"/>
  <c r="M151" i="46"/>
  <c r="G161" i="46"/>
  <c r="D15" i="47"/>
  <c r="C58" i="47"/>
  <c r="E58" i="47" s="1"/>
  <c r="D87" i="47"/>
  <c r="D104" i="47"/>
  <c r="E64" i="68"/>
  <c r="C96" i="68"/>
  <c r="E54" i="68"/>
  <c r="F59" i="68"/>
  <c r="C154" i="71"/>
  <c r="H54" i="68"/>
  <c r="H64" i="68"/>
  <c r="C54" i="68"/>
  <c r="B69" i="68"/>
  <c r="B54" i="68"/>
  <c r="E10" i="70"/>
  <c r="F169" i="71"/>
  <c r="H159" i="71"/>
  <c r="D13" i="72"/>
  <c r="D51" i="72"/>
  <c r="D203" i="70"/>
  <c r="F8" i="71"/>
  <c r="H72" i="72"/>
  <c r="E156" i="68"/>
  <c r="G19" i="68"/>
  <c r="B93" i="70"/>
  <c r="H88" i="72"/>
  <c r="J153" i="51"/>
  <c r="D44" i="52"/>
  <c r="D113" i="52"/>
  <c r="E99" i="53"/>
  <c r="D93" i="52"/>
  <c r="J123" i="52"/>
  <c r="F46" i="53"/>
  <c r="E34" i="62"/>
  <c r="E269" i="51"/>
  <c r="H104" i="53"/>
  <c r="D24" i="62"/>
  <c r="G29" i="62"/>
  <c r="E18" i="52"/>
  <c r="D30" i="53"/>
  <c r="D133" i="53"/>
  <c r="H118" i="62"/>
  <c r="G146" i="62"/>
  <c r="C156" i="62"/>
  <c r="I29" i="62"/>
  <c r="D15" i="51"/>
  <c r="C40" i="51"/>
  <c r="D87" i="51"/>
  <c r="E29" i="52"/>
  <c r="N192" i="52"/>
  <c r="E192" i="52"/>
  <c r="M192" i="52"/>
  <c r="M41" i="53"/>
  <c r="H87" i="53"/>
  <c r="I109" i="53"/>
  <c r="C109" i="53"/>
  <c r="C67" i="51"/>
  <c r="F239" i="51"/>
  <c r="E34" i="52"/>
  <c r="F7" i="52"/>
  <c r="I33" i="62"/>
  <c r="G39" i="62"/>
  <c r="G73" i="62"/>
  <c r="G79" i="62"/>
  <c r="H113" i="62"/>
  <c r="D118" i="62"/>
  <c r="D123" i="62"/>
  <c r="E123" i="62" s="1"/>
  <c r="C146" i="62"/>
  <c r="D151" i="62"/>
  <c r="L151" i="62"/>
  <c r="F161" i="62"/>
  <c r="E113" i="52"/>
  <c r="C104" i="51"/>
  <c r="E104" i="51" s="1"/>
  <c r="E187" i="52"/>
  <c r="C30" i="51"/>
  <c r="H30" i="51" s="1"/>
  <c r="I39" i="52"/>
  <c r="F113" i="52"/>
  <c r="G104" i="53"/>
  <c r="I23" i="62"/>
  <c r="D39" i="62"/>
  <c r="J39" i="52"/>
  <c r="D184" i="51"/>
  <c r="E49" i="52"/>
  <c r="E39" i="52"/>
  <c r="E44" i="52"/>
  <c r="C187" i="52"/>
  <c r="D192" i="52"/>
  <c r="L192" i="52"/>
  <c r="J41" i="53"/>
  <c r="B141" i="62"/>
  <c r="H39" i="62"/>
  <c r="C15" i="51"/>
  <c r="D71" i="51"/>
  <c r="H239" i="51"/>
  <c r="C259" i="51"/>
  <c r="D273" i="51"/>
  <c r="D293" i="51"/>
  <c r="G192" i="52"/>
  <c r="C197" i="52"/>
  <c r="G35" i="53"/>
  <c r="I41" i="53"/>
  <c r="D109" i="53"/>
  <c r="C8" i="62"/>
  <c r="F24" i="62"/>
  <c r="L39" i="62"/>
  <c r="E128" i="62"/>
  <c r="D8" i="62"/>
  <c r="F128" i="62"/>
  <c r="D58" i="51"/>
  <c r="D77" i="51"/>
  <c r="C239" i="51"/>
  <c r="E8" i="62"/>
  <c r="B39" i="62"/>
  <c r="C74" i="62"/>
  <c r="G202" i="52"/>
  <c r="D239" i="51"/>
  <c r="K29" i="52"/>
  <c r="C36" i="53"/>
  <c r="F8" i="62"/>
  <c r="B91" i="62"/>
  <c r="E107" i="52"/>
  <c r="E41" i="53"/>
  <c r="G8" i="62"/>
  <c r="F39" i="62"/>
  <c r="C91" i="62"/>
  <c r="J117" i="62"/>
  <c r="C41" i="53"/>
  <c r="K41" i="53"/>
  <c r="H46" i="53"/>
  <c r="G109" i="53"/>
  <c r="H8" i="62"/>
  <c r="D91" i="62"/>
  <c r="G123" i="52"/>
  <c r="D41" i="53"/>
  <c r="F104" i="53"/>
  <c r="B14" i="62"/>
  <c r="E8" i="52"/>
  <c r="B8" i="62"/>
  <c r="J39" i="62"/>
  <c r="H146" i="64"/>
  <c r="I208" i="65"/>
  <c r="H34" i="64"/>
  <c r="E148" i="65"/>
  <c r="D34" i="66"/>
  <c r="E87" i="66"/>
  <c r="G109" i="65"/>
  <c r="H29" i="64"/>
  <c r="C79" i="64"/>
  <c r="H118" i="64"/>
  <c r="G146" i="64"/>
  <c r="H151" i="64"/>
  <c r="C156" i="64"/>
  <c r="H45" i="65"/>
  <c r="D77" i="65"/>
  <c r="I153" i="65"/>
  <c r="D243" i="65"/>
  <c r="H29" i="66"/>
  <c r="J39" i="66"/>
  <c r="H87" i="66"/>
  <c r="F118" i="66"/>
  <c r="G203" i="66"/>
  <c r="H104" i="67"/>
  <c r="D104" i="65"/>
  <c r="N214" i="65"/>
  <c r="D269" i="65"/>
  <c r="D93" i="66"/>
  <c r="H39" i="66"/>
  <c r="D98" i="66"/>
  <c r="D113" i="66"/>
  <c r="D99" i="67"/>
  <c r="H46" i="67"/>
  <c r="G45" i="65"/>
  <c r="G224" i="65"/>
  <c r="E77" i="65"/>
  <c r="F159" i="66"/>
  <c r="D104" i="67"/>
  <c r="D133" i="67"/>
  <c r="D77" i="66"/>
  <c r="E79" i="64"/>
  <c r="B123" i="64"/>
  <c r="E123" i="64" s="1"/>
  <c r="I146" i="64"/>
  <c r="D129" i="65"/>
  <c r="D224" i="65"/>
  <c r="D67" i="66"/>
  <c r="F41" i="67"/>
  <c r="D46" i="67"/>
  <c r="G109" i="67"/>
  <c r="E19" i="64"/>
  <c r="E224" i="65"/>
  <c r="E29" i="66"/>
  <c r="G39" i="66"/>
  <c r="J123" i="66"/>
  <c r="H123" i="66"/>
  <c r="E74" i="64"/>
  <c r="I79" i="64"/>
  <c r="D104" i="64"/>
  <c r="E146" i="64"/>
  <c r="F151" i="64"/>
  <c r="N151" i="64"/>
  <c r="G118" i="66"/>
  <c r="G34" i="66"/>
  <c r="D87" i="66"/>
  <c r="C118" i="66"/>
  <c r="D123" i="66"/>
  <c r="D203" i="66"/>
  <c r="F77" i="65"/>
  <c r="L158" i="65"/>
  <c r="G259" i="65"/>
  <c r="H203" i="66"/>
  <c r="D36" i="67"/>
  <c r="I84" i="64"/>
  <c r="C109" i="64"/>
  <c r="G109" i="64" s="1"/>
  <c r="E30" i="65"/>
  <c r="E109" i="65"/>
  <c r="I114" i="65"/>
  <c r="E153" i="65"/>
  <c r="D273" i="65"/>
  <c r="C34" i="66"/>
  <c r="H34" i="66" s="1"/>
  <c r="H158" i="65"/>
  <c r="G44" i="66"/>
  <c r="J29" i="66"/>
  <c r="J87" i="66"/>
  <c r="D118" i="66"/>
  <c r="E123" i="66"/>
  <c r="G193" i="66"/>
  <c r="E203" i="66"/>
  <c r="C67" i="66"/>
  <c r="E36" i="67"/>
  <c r="I29" i="64"/>
  <c r="D79" i="64"/>
  <c r="I151" i="64"/>
  <c r="D161" i="64"/>
  <c r="I41" i="67"/>
  <c r="E17" i="67"/>
  <c r="H153" i="65"/>
  <c r="J153" i="65"/>
  <c r="E34" i="64"/>
  <c r="D68" i="64"/>
  <c r="C118" i="64"/>
  <c r="E122" i="64"/>
  <c r="D140" i="64"/>
  <c r="C151" i="64"/>
  <c r="K151" i="64"/>
  <c r="F30" i="65"/>
  <c r="G87" i="66"/>
  <c r="E18" i="66"/>
  <c r="F87" i="66"/>
  <c r="H118" i="66"/>
  <c r="I123" i="66"/>
  <c r="E141" i="66"/>
  <c r="F104" i="67"/>
  <c r="D29" i="64"/>
  <c r="C146" i="64"/>
  <c r="J15" i="65"/>
  <c r="G30" i="65"/>
  <c r="F114" i="65"/>
  <c r="H114" i="65"/>
  <c r="K214" i="65"/>
  <c r="E259" i="65"/>
  <c r="E13" i="64"/>
  <c r="E59" i="64" s="1"/>
  <c r="F79" i="64"/>
  <c r="E161" i="64"/>
  <c r="G18" i="64"/>
  <c r="F161" i="64"/>
  <c r="J114" i="65"/>
  <c r="H208" i="65"/>
  <c r="F259" i="65"/>
  <c r="D58" i="65"/>
  <c r="G77" i="65"/>
  <c r="C39" i="66"/>
  <c r="H41" i="67"/>
  <c r="F49" i="66"/>
  <c r="K29" i="66"/>
  <c r="E39" i="66"/>
  <c r="E44" i="66"/>
  <c r="C87" i="66"/>
  <c r="L87" i="66" s="1"/>
  <c r="K87" i="66"/>
  <c r="E118" i="66"/>
  <c r="F123" i="66"/>
  <c r="E136" i="66"/>
  <c r="E148" i="66"/>
  <c r="F203" i="66"/>
  <c r="C41" i="67"/>
  <c r="E109" i="67"/>
  <c r="D44" i="66"/>
  <c r="D156" i="64"/>
  <c r="J79" i="64"/>
  <c r="I23" i="64"/>
  <c r="G29" i="64"/>
  <c r="F74" i="64"/>
  <c r="G118" i="64"/>
  <c r="F146" i="64"/>
  <c r="D109" i="65"/>
  <c r="F269" i="65"/>
  <c r="C15" i="65"/>
  <c r="K119" i="65"/>
  <c r="J119" i="65"/>
  <c r="F153" i="65"/>
  <c r="C208" i="65"/>
  <c r="L214" i="65"/>
  <c r="H239" i="65"/>
  <c r="E263" i="65"/>
  <c r="D293" i="65"/>
  <c r="J41" i="67"/>
  <c r="K41" i="67"/>
  <c r="F109" i="67"/>
  <c r="D39" i="66"/>
  <c r="F44" i="66"/>
  <c r="E84" i="64"/>
  <c r="L15" i="65"/>
  <c r="G123" i="66"/>
  <c r="E46" i="67"/>
  <c r="C46" i="67"/>
  <c r="C36" i="67"/>
  <c r="F39" i="66"/>
  <c r="D81" i="66"/>
  <c r="C123" i="66"/>
  <c r="D41" i="67"/>
  <c r="L41" i="67"/>
  <c r="E56" i="67"/>
  <c r="I66" i="67"/>
  <c r="H109" i="67"/>
  <c r="C113" i="66"/>
  <c r="E41" i="67"/>
  <c r="H87" i="67"/>
  <c r="I109" i="67"/>
  <c r="F223" i="55"/>
  <c r="H87" i="57"/>
  <c r="I109" i="57"/>
  <c r="I146" i="54"/>
  <c r="K151" i="54"/>
  <c r="D68" i="54"/>
  <c r="F79" i="54"/>
  <c r="D24" i="54"/>
  <c r="G29" i="54"/>
  <c r="F74" i="54"/>
  <c r="J79" i="54"/>
  <c r="E104" i="54"/>
  <c r="G118" i="54"/>
  <c r="F146" i="54"/>
  <c r="G151" i="54"/>
  <c r="O151" i="54"/>
  <c r="C40" i="55"/>
  <c r="C58" i="55"/>
  <c r="C77" i="55"/>
  <c r="H77" i="55" s="1"/>
  <c r="C104" i="55"/>
  <c r="K119" i="55"/>
  <c r="H158" i="55"/>
  <c r="F189" i="55"/>
  <c r="G223" i="55"/>
  <c r="F29" i="56"/>
  <c r="I29" i="56"/>
  <c r="D123" i="56"/>
  <c r="G187" i="56"/>
  <c r="H19" i="55"/>
  <c r="C118" i="54"/>
  <c r="E15" i="55"/>
  <c r="D58" i="55"/>
  <c r="D77" i="55"/>
  <c r="C123" i="56"/>
  <c r="L41" i="57"/>
  <c r="F158" i="55"/>
  <c r="E123" i="56"/>
  <c r="C67" i="56"/>
  <c r="E67" i="56" s="1"/>
  <c r="D113" i="56"/>
  <c r="G123" i="56"/>
  <c r="H151" i="54"/>
  <c r="D19" i="54"/>
  <c r="H123" i="56"/>
  <c r="F7" i="56"/>
  <c r="J151" i="54"/>
  <c r="D74" i="54"/>
  <c r="C109" i="54"/>
  <c r="G109" i="54" s="1"/>
  <c r="G161" i="54"/>
  <c r="E18" i="56"/>
  <c r="D41" i="57"/>
  <c r="I46" i="57"/>
  <c r="E56" i="57"/>
  <c r="I66" i="57"/>
  <c r="D104" i="57"/>
  <c r="H109" i="57"/>
  <c r="E104" i="18"/>
  <c r="G36" i="72"/>
  <c r="G99" i="72"/>
  <c r="I67" i="72"/>
  <c r="D163" i="70"/>
  <c r="E219" i="70"/>
  <c r="G87" i="70"/>
  <c r="C35" i="70"/>
  <c r="D108" i="71"/>
  <c r="C137" i="71"/>
  <c r="I8" i="68"/>
  <c r="B50" i="70"/>
  <c r="B169" i="71"/>
  <c r="D137" i="71"/>
  <c r="C284" i="70"/>
  <c r="B137" i="71"/>
  <c r="C108" i="71"/>
  <c r="B98" i="70"/>
  <c r="B82" i="70"/>
  <c r="C82" i="70"/>
  <c r="E124" i="70"/>
  <c r="E91" i="68"/>
  <c r="E163" i="70"/>
  <c r="B304" i="70"/>
  <c r="J93" i="70"/>
  <c r="G113" i="71"/>
  <c r="G163" i="70"/>
  <c r="H77" i="70"/>
  <c r="D59" i="71"/>
  <c r="D182" i="71"/>
  <c r="E197" i="71"/>
  <c r="G13" i="71"/>
  <c r="E149" i="71"/>
  <c r="E24" i="71"/>
  <c r="E19" i="71"/>
  <c r="F40" i="70"/>
  <c r="B284" i="70"/>
  <c r="C93" i="70"/>
  <c r="B35" i="70"/>
  <c r="N93" i="70"/>
  <c r="C289" i="70"/>
  <c r="C72" i="70"/>
  <c r="C304" i="70"/>
  <c r="D304" i="70" s="1"/>
  <c r="F93" i="70"/>
  <c r="C50" i="70"/>
  <c r="B143" i="70"/>
  <c r="B289" i="70"/>
  <c r="B299" i="70"/>
  <c r="B244" i="70"/>
  <c r="C299" i="70"/>
  <c r="C98" i="70"/>
  <c r="L93" i="70"/>
  <c r="G93" i="70"/>
  <c r="C130" i="70"/>
  <c r="D124" i="70"/>
  <c r="C244" i="70"/>
  <c r="B130" i="70"/>
  <c r="C124" i="70"/>
  <c r="H93" i="70"/>
  <c r="C163" i="70"/>
  <c r="F124" i="70"/>
  <c r="D98" i="70"/>
  <c r="M93" i="70"/>
  <c r="D93" i="70"/>
  <c r="C294" i="70"/>
  <c r="C274" i="70"/>
  <c r="B72" i="70"/>
  <c r="B294" i="70"/>
  <c r="B274" i="70"/>
  <c r="B234" i="70"/>
  <c r="D234" i="70" s="1"/>
  <c r="E93" i="70"/>
  <c r="C279" i="70"/>
  <c r="B254" i="70"/>
  <c r="B249" i="70"/>
  <c r="K93" i="70"/>
  <c r="H180" i="70"/>
  <c r="C254" i="70"/>
  <c r="C249" i="70"/>
  <c r="B279" i="70"/>
  <c r="C143" i="70"/>
  <c r="D50" i="70"/>
  <c r="B163" i="70"/>
  <c r="G124" i="70"/>
  <c r="F163" i="70"/>
  <c r="B124" i="70"/>
  <c r="I93" i="70"/>
  <c r="G56" i="67"/>
  <c r="C139" i="67"/>
  <c r="E129" i="67"/>
  <c r="K56" i="67"/>
  <c r="D30" i="67"/>
  <c r="I56" i="67"/>
  <c r="C99" i="67"/>
  <c r="E139" i="67"/>
  <c r="J56" i="67"/>
  <c r="F139" i="67"/>
  <c r="B13" i="67"/>
  <c r="G104" i="67"/>
  <c r="C104" i="67"/>
  <c r="B152" i="67"/>
  <c r="D152" i="67" s="1"/>
  <c r="B56" i="67"/>
  <c r="H129" i="67"/>
  <c r="C129" i="67"/>
  <c r="I82" i="67"/>
  <c r="D12" i="67"/>
  <c r="M41" i="67"/>
  <c r="I46" i="67"/>
  <c r="F56" i="67"/>
  <c r="I104" i="67"/>
  <c r="C109" i="67"/>
  <c r="F129" i="67"/>
  <c r="D139" i="67"/>
  <c r="D56" i="67"/>
  <c r="L56" i="67"/>
  <c r="E7" i="67"/>
  <c r="G115" i="67" s="1"/>
  <c r="F36" i="67"/>
  <c r="J46" i="67"/>
  <c r="F99" i="67"/>
  <c r="D109" i="67"/>
  <c r="G129" i="67"/>
  <c r="D151" i="67"/>
  <c r="C13" i="67"/>
  <c r="G41" i="67"/>
  <c r="H56" i="67"/>
  <c r="H71" i="67"/>
  <c r="D129" i="67"/>
  <c r="B139" i="67"/>
  <c r="B129" i="67"/>
  <c r="G35" i="67"/>
  <c r="C56" i="67"/>
  <c r="G98" i="67"/>
  <c r="G29" i="66"/>
  <c r="I39" i="66"/>
  <c r="E23" i="66"/>
  <c r="D108" i="66" s="1"/>
  <c r="D29" i="66"/>
  <c r="I188" i="66"/>
  <c r="F19" i="64"/>
  <c r="D8" i="64"/>
  <c r="F34" i="64"/>
  <c r="F45" i="64"/>
  <c r="I53" i="64"/>
  <c r="C74" i="64"/>
  <c r="G79" i="64"/>
  <c r="H113" i="64"/>
  <c r="J117" i="64"/>
  <c r="D151" i="64"/>
  <c r="L151" i="64"/>
  <c r="F109" i="65"/>
  <c r="D119" i="65"/>
  <c r="J239" i="65"/>
  <c r="E188" i="66"/>
  <c r="H54" i="66"/>
  <c r="E8" i="64"/>
  <c r="E29" i="64"/>
  <c r="H79" i="64"/>
  <c r="H84" i="64"/>
  <c r="F109" i="64"/>
  <c r="E118" i="64"/>
  <c r="D146" i="64"/>
  <c r="E151" i="64"/>
  <c r="M151" i="64"/>
  <c r="G161" i="64"/>
  <c r="E15" i="65"/>
  <c r="E119" i="65"/>
  <c r="D148" i="65"/>
  <c r="D233" i="65"/>
  <c r="H193" i="66"/>
  <c r="C8" i="66"/>
  <c r="J193" i="66"/>
  <c r="F24" i="64"/>
  <c r="E156" i="64"/>
  <c r="F119" i="65"/>
  <c r="C239" i="65"/>
  <c r="L193" i="66"/>
  <c r="H119" i="65"/>
  <c r="D239" i="65"/>
  <c r="I119" i="65"/>
  <c r="E239" i="65"/>
  <c r="F45" i="65"/>
  <c r="C45" i="65"/>
  <c r="C67" i="65"/>
  <c r="G114" i="65"/>
  <c r="G119" i="65"/>
  <c r="G158" i="65"/>
  <c r="D158" i="65"/>
  <c r="H179" i="65"/>
  <c r="F224" i="65"/>
  <c r="F239" i="65"/>
  <c r="H259" i="65"/>
  <c r="G269" i="65"/>
  <c r="G239" i="65"/>
  <c r="I15" i="65"/>
  <c r="D45" i="65"/>
  <c r="D67" i="65"/>
  <c r="C87" i="65"/>
  <c r="E158" i="65"/>
  <c r="C190" i="65"/>
  <c r="D208" i="65"/>
  <c r="J214" i="65"/>
  <c r="I259" i="65"/>
  <c r="H269" i="65"/>
  <c r="E24" i="64"/>
  <c r="C29" i="66"/>
  <c r="B13" i="66"/>
  <c r="C54" i="66"/>
  <c r="C59" i="66"/>
  <c r="F188" i="66"/>
  <c r="I193" i="66"/>
  <c r="M193" i="66"/>
  <c r="C13" i="66"/>
  <c r="B49" i="66"/>
  <c r="F54" i="66"/>
  <c r="C198" i="66"/>
  <c r="D13" i="66"/>
  <c r="F29" i="66"/>
  <c r="E34" i="66"/>
  <c r="C49" i="66"/>
  <c r="G54" i="66"/>
  <c r="C188" i="66"/>
  <c r="K193" i="66"/>
  <c r="F13" i="66"/>
  <c r="F34" i="66"/>
  <c r="D49" i="66"/>
  <c r="G188" i="66"/>
  <c r="N193" i="66"/>
  <c r="I29" i="66"/>
  <c r="E49" i="66"/>
  <c r="I54" i="66"/>
  <c r="B183" i="66"/>
  <c r="H188" i="66"/>
  <c r="D193" i="66"/>
  <c r="B54" i="66"/>
  <c r="B8" i="66"/>
  <c r="H43" i="66"/>
  <c r="H49" i="66"/>
  <c r="J54" i="66"/>
  <c r="C183" i="66"/>
  <c r="C193" i="66"/>
  <c r="E193" i="66"/>
  <c r="E8" i="66"/>
  <c r="B59" i="66"/>
  <c r="D8" i="66"/>
  <c r="D188" i="66"/>
  <c r="F193" i="66"/>
  <c r="B19" i="66"/>
  <c r="B24" i="66"/>
  <c r="C44" i="66"/>
  <c r="H44" i="66" s="1"/>
  <c r="E113" i="66"/>
  <c r="D198" i="66"/>
  <c r="F7" i="66"/>
  <c r="D19" i="66"/>
  <c r="D24" i="66"/>
  <c r="G49" i="66"/>
  <c r="E54" i="66"/>
  <c r="B82" i="66"/>
  <c r="D182" i="66"/>
  <c r="E13" i="66"/>
  <c r="C19" i="66"/>
  <c r="C24" i="66"/>
  <c r="D54" i="66"/>
  <c r="L54" i="66"/>
  <c r="H33" i="66"/>
  <c r="E66" i="66"/>
  <c r="E76" i="66"/>
  <c r="C82" i="66"/>
  <c r="F113" i="66"/>
  <c r="D58" i="66"/>
  <c r="E107" i="66"/>
  <c r="G12" i="66"/>
  <c r="G112" i="66"/>
  <c r="I118" i="66" s="1"/>
  <c r="H158" i="66"/>
  <c r="L86" i="66"/>
  <c r="D153" i="66"/>
  <c r="E197" i="66"/>
  <c r="B185" i="65"/>
  <c r="C185" i="65"/>
  <c r="F15" i="65"/>
  <c r="D40" i="65"/>
  <c r="C58" i="65"/>
  <c r="D87" i="65"/>
  <c r="K114" i="65"/>
  <c r="K158" i="65"/>
  <c r="C214" i="65"/>
  <c r="G214" i="65"/>
  <c r="D10" i="65"/>
  <c r="G15" i="65"/>
  <c r="E40" i="65"/>
  <c r="E87" i="65"/>
  <c r="D114" i="65"/>
  <c r="D190" i="65"/>
  <c r="D214" i="65"/>
  <c r="O214" i="65"/>
  <c r="J259" i="65"/>
  <c r="C203" i="65"/>
  <c r="M15" i="65"/>
  <c r="B45" i="65"/>
  <c r="F87" i="65"/>
  <c r="E114" i="65"/>
  <c r="D180" i="65"/>
  <c r="E190" i="65"/>
  <c r="F214" i="65"/>
  <c r="C219" i="65"/>
  <c r="C259" i="65"/>
  <c r="C264" i="65"/>
  <c r="G180" i="65"/>
  <c r="M158" i="65"/>
  <c r="H224" i="65"/>
  <c r="J45" i="65"/>
  <c r="D15" i="65"/>
  <c r="E180" i="65"/>
  <c r="M214" i="65"/>
  <c r="H214" i="65"/>
  <c r="D259" i="65"/>
  <c r="D264" i="65"/>
  <c r="J158" i="65"/>
  <c r="E9" i="65"/>
  <c r="B163" i="65" s="1"/>
  <c r="K15" i="65"/>
  <c r="H19" i="65"/>
  <c r="H29" i="65"/>
  <c r="F39" i="65"/>
  <c r="D71" i="65"/>
  <c r="H162" i="65"/>
  <c r="C180" i="65"/>
  <c r="D184" i="65"/>
  <c r="D153" i="65"/>
  <c r="B10" i="65"/>
  <c r="C30" i="65"/>
  <c r="H30" i="65" s="1"/>
  <c r="D34" i="65"/>
  <c r="C40" i="65"/>
  <c r="E45" i="65"/>
  <c r="H76" i="65"/>
  <c r="B190" i="65"/>
  <c r="E208" i="65"/>
  <c r="I214" i="65"/>
  <c r="D253" i="65"/>
  <c r="E269" i="65"/>
  <c r="D288" i="65"/>
  <c r="B180" i="65"/>
  <c r="C10" i="65"/>
  <c r="D30" i="65"/>
  <c r="E49" i="65"/>
  <c r="E57" i="65"/>
  <c r="E66" i="65"/>
  <c r="C77" i="65"/>
  <c r="D81" i="65"/>
  <c r="G86" i="65"/>
  <c r="D142" i="65"/>
  <c r="G147" i="65"/>
  <c r="G153" i="65"/>
  <c r="F158" i="65"/>
  <c r="F208" i="65"/>
  <c r="E218" i="65"/>
  <c r="C148" i="65"/>
  <c r="G208" i="65"/>
  <c r="D248" i="65"/>
  <c r="D283" i="65"/>
  <c r="D303" i="65"/>
  <c r="E103" i="65"/>
  <c r="D202" i="65"/>
  <c r="D219" i="65"/>
  <c r="H15" i="65"/>
  <c r="I45" i="65"/>
  <c r="E97" i="65"/>
  <c r="C104" i="65"/>
  <c r="E104" i="65" s="1"/>
  <c r="I158" i="65"/>
  <c r="F190" i="65"/>
  <c r="B203" i="65"/>
  <c r="E214" i="65"/>
  <c r="D298" i="65"/>
  <c r="F148" i="65"/>
  <c r="F8" i="64"/>
  <c r="F39" i="64"/>
  <c r="G8" i="64"/>
  <c r="B91" i="64"/>
  <c r="H8" i="64"/>
  <c r="I33" i="64"/>
  <c r="I39" i="64"/>
  <c r="D91" i="64"/>
  <c r="D128" i="64"/>
  <c r="H39" i="64"/>
  <c r="B128" i="64"/>
  <c r="C91" i="64"/>
  <c r="I7" i="64"/>
  <c r="E128" i="64"/>
  <c r="B8" i="64"/>
  <c r="D19" i="64"/>
  <c r="C39" i="64"/>
  <c r="F84" i="64"/>
  <c r="E109" i="64"/>
  <c r="C8" i="64"/>
  <c r="C14" i="64"/>
  <c r="D84" i="64"/>
  <c r="D109" i="64"/>
  <c r="D14" i="64"/>
  <c r="D24" i="64"/>
  <c r="D34" i="64"/>
  <c r="C123" i="64"/>
  <c r="B141" i="64"/>
  <c r="D123" i="64"/>
  <c r="C128" i="64"/>
  <c r="C141" i="64"/>
  <c r="K39" i="64"/>
  <c r="I63" i="64"/>
  <c r="C84" i="64"/>
  <c r="B118" i="64"/>
  <c r="J118" i="64" s="1"/>
  <c r="G151" i="64"/>
  <c r="O151" i="64"/>
  <c r="H161" i="64"/>
  <c r="G24" i="64"/>
  <c r="G34" i="64"/>
  <c r="D39" i="64"/>
  <c r="L39" i="64"/>
  <c r="D95" i="64"/>
  <c r="F103" i="64"/>
  <c r="I118" i="64"/>
  <c r="H24" i="64"/>
  <c r="G58" i="64"/>
  <c r="E90" i="64"/>
  <c r="C104" i="64"/>
  <c r="F104" i="64" s="1"/>
  <c r="G108" i="64"/>
  <c r="D118" i="64"/>
  <c r="F128" i="64"/>
  <c r="B39" i="64"/>
  <c r="J39" i="64"/>
  <c r="G73" i="64"/>
  <c r="J151" i="64"/>
  <c r="B14" i="64"/>
  <c r="F29" i="64"/>
  <c r="G39" i="64"/>
  <c r="G84" i="64"/>
  <c r="E104" i="64"/>
  <c r="F118" i="64"/>
  <c r="D74" i="64"/>
  <c r="G19" i="62"/>
  <c r="I7" i="62"/>
  <c r="C141" i="62"/>
  <c r="D141" i="62" s="1"/>
  <c r="I39" i="62"/>
  <c r="B128" i="62"/>
  <c r="F34" i="62"/>
  <c r="C39" i="62"/>
  <c r="K39" i="62"/>
  <c r="I63" i="62"/>
  <c r="B118" i="62"/>
  <c r="D128" i="62"/>
  <c r="G34" i="62"/>
  <c r="D84" i="62"/>
  <c r="D95" i="62"/>
  <c r="F103" i="62"/>
  <c r="D14" i="62"/>
  <c r="E39" i="62"/>
  <c r="G58" i="62"/>
  <c r="E84" i="62"/>
  <c r="E90" i="62"/>
  <c r="C104" i="62"/>
  <c r="G108" i="62"/>
  <c r="E13" i="62"/>
  <c r="F59" i="62" s="1"/>
  <c r="G18" i="62"/>
  <c r="D68" i="62"/>
  <c r="E155" i="62"/>
  <c r="I53" i="62"/>
  <c r="G84" i="62"/>
  <c r="D109" i="62"/>
  <c r="E122" i="62"/>
  <c r="C14" i="62"/>
  <c r="C139" i="57"/>
  <c r="E129" i="57"/>
  <c r="H129" i="57"/>
  <c r="G56" i="57"/>
  <c r="C99" i="57"/>
  <c r="E139" i="57"/>
  <c r="K56" i="57"/>
  <c r="I56" i="57"/>
  <c r="F139" i="57"/>
  <c r="B13" i="57"/>
  <c r="D13" i="57" s="1"/>
  <c r="C104" i="57"/>
  <c r="B152" i="57"/>
  <c r="D152" i="57" s="1"/>
  <c r="G104" i="57"/>
  <c r="C129" i="57"/>
  <c r="I82" i="57"/>
  <c r="D12" i="57"/>
  <c r="E36" i="57"/>
  <c r="E41" i="57"/>
  <c r="M41" i="57"/>
  <c r="F56" i="57"/>
  <c r="I104" i="57"/>
  <c r="C109" i="57"/>
  <c r="F129" i="57"/>
  <c r="D139" i="57"/>
  <c r="D56" i="57"/>
  <c r="E7" i="57"/>
  <c r="D23" i="57" s="1"/>
  <c r="F36" i="57"/>
  <c r="J46" i="57"/>
  <c r="F99" i="57"/>
  <c r="D109" i="57"/>
  <c r="G129" i="57"/>
  <c r="D151" i="57"/>
  <c r="C13" i="57"/>
  <c r="G41" i="57"/>
  <c r="H56" i="57"/>
  <c r="H71" i="57"/>
  <c r="L56" i="57"/>
  <c r="D129" i="57"/>
  <c r="B139" i="57"/>
  <c r="I41" i="57"/>
  <c r="B56" i="57"/>
  <c r="J56" i="57"/>
  <c r="B129" i="57"/>
  <c r="G35" i="57"/>
  <c r="C56" i="57"/>
  <c r="G98" i="57"/>
  <c r="D118" i="54"/>
  <c r="D151" i="54"/>
  <c r="F19" i="54"/>
  <c r="F29" i="54"/>
  <c r="I79" i="54"/>
  <c r="D104" i="54"/>
  <c r="H113" i="54"/>
  <c r="F118" i="54"/>
  <c r="E146" i="54"/>
  <c r="F151" i="54"/>
  <c r="N151" i="54"/>
  <c r="H161" i="54"/>
  <c r="C213" i="55"/>
  <c r="H29" i="56"/>
  <c r="H87" i="56"/>
  <c r="E196" i="56"/>
  <c r="I23" i="54"/>
  <c r="D34" i="56"/>
  <c r="E34" i="56"/>
  <c r="J87" i="56"/>
  <c r="H202" i="56"/>
  <c r="F45" i="55"/>
  <c r="D71" i="55"/>
  <c r="F109" i="55"/>
  <c r="J114" i="55"/>
  <c r="J119" i="55"/>
  <c r="D129" i="55"/>
  <c r="F153" i="55"/>
  <c r="G158" i="55"/>
  <c r="H162" i="55"/>
  <c r="L213" i="55"/>
  <c r="E238" i="55"/>
  <c r="I238" i="55"/>
  <c r="E262" i="55"/>
  <c r="D272" i="55"/>
  <c r="D292" i="55"/>
  <c r="C49" i="56"/>
  <c r="F34" i="56"/>
  <c r="E202" i="56"/>
  <c r="D49" i="56"/>
  <c r="K29" i="56"/>
  <c r="E39" i="56"/>
  <c r="E44" i="56"/>
  <c r="K87" i="56"/>
  <c r="E118" i="56"/>
  <c r="F123" i="56"/>
  <c r="E148" i="56"/>
  <c r="E187" i="56"/>
  <c r="I187" i="56"/>
  <c r="J192" i="56"/>
  <c r="E8" i="56"/>
  <c r="D34" i="54"/>
  <c r="B123" i="54"/>
  <c r="E123" i="54" s="1"/>
  <c r="J258" i="55"/>
  <c r="G34" i="56"/>
  <c r="C87" i="56"/>
  <c r="L87" i="56" s="1"/>
  <c r="C123" i="54"/>
  <c r="D268" i="55"/>
  <c r="G29" i="56"/>
  <c r="C39" i="56"/>
  <c r="F87" i="56"/>
  <c r="E29" i="56"/>
  <c r="H146" i="54"/>
  <c r="D156" i="54"/>
  <c r="E163" i="55"/>
  <c r="G87" i="56"/>
  <c r="F13" i="56"/>
  <c r="D29" i="56"/>
  <c r="C34" i="56"/>
  <c r="H34" i="56" s="1"/>
  <c r="H43" i="56"/>
  <c r="H49" i="56"/>
  <c r="E66" i="56"/>
  <c r="D87" i="56"/>
  <c r="E107" i="56"/>
  <c r="F118" i="56"/>
  <c r="E136" i="56"/>
  <c r="F159" i="56"/>
  <c r="F202" i="56"/>
  <c r="G238" i="55"/>
  <c r="E49" i="56"/>
  <c r="M192" i="56"/>
  <c r="I118" i="54"/>
  <c r="D140" i="54"/>
  <c r="D119" i="55"/>
  <c r="F148" i="55"/>
  <c r="H238" i="55"/>
  <c r="D192" i="56"/>
  <c r="N192" i="56"/>
  <c r="B8" i="56"/>
  <c r="E119" i="55"/>
  <c r="C148" i="55"/>
  <c r="E192" i="56"/>
  <c r="C197" i="56"/>
  <c r="F192" i="56"/>
  <c r="H34" i="54"/>
  <c r="I29" i="54"/>
  <c r="C79" i="54"/>
  <c r="H118" i="54"/>
  <c r="C146" i="54"/>
  <c r="L151" i="54"/>
  <c r="C156" i="54"/>
  <c r="C8" i="54"/>
  <c r="D104" i="55"/>
  <c r="E104" i="55" s="1"/>
  <c r="G119" i="55"/>
  <c r="E148" i="55"/>
  <c r="C238" i="55"/>
  <c r="C253" i="55"/>
  <c r="D187" i="56"/>
  <c r="G192" i="56"/>
  <c r="G79" i="54"/>
  <c r="E74" i="54"/>
  <c r="G74" i="54" s="1"/>
  <c r="F119" i="55"/>
  <c r="D232" i="55"/>
  <c r="I33" i="54"/>
  <c r="I119" i="55"/>
  <c r="D238" i="55"/>
  <c r="I15" i="55"/>
  <c r="H29" i="55"/>
  <c r="C50" i="55"/>
  <c r="D93" i="55"/>
  <c r="H114" i="55"/>
  <c r="H119" i="55"/>
  <c r="F124" i="55"/>
  <c r="D153" i="55"/>
  <c r="E158" i="55"/>
  <c r="M158" i="55"/>
  <c r="H178" i="55"/>
  <c r="C189" i="55"/>
  <c r="I207" i="55"/>
  <c r="J213" i="55"/>
  <c r="I258" i="55"/>
  <c r="H268" i="55"/>
  <c r="C288" i="55"/>
  <c r="B49" i="56"/>
  <c r="C187" i="56"/>
  <c r="I192" i="56"/>
  <c r="G146" i="54"/>
  <c r="E8" i="54"/>
  <c r="E29" i="54"/>
  <c r="F45" i="54"/>
  <c r="I53" i="54"/>
  <c r="I63" i="54"/>
  <c r="I84" i="54"/>
  <c r="H79" i="54"/>
  <c r="H84" i="54"/>
  <c r="E118" i="54"/>
  <c r="B128" i="54"/>
  <c r="D146" i="54"/>
  <c r="E151" i="54"/>
  <c r="M151" i="54"/>
  <c r="E13" i="56"/>
  <c r="D54" i="56"/>
  <c r="C13" i="56"/>
  <c r="D24" i="56"/>
  <c r="F44" i="56"/>
  <c r="B54" i="56"/>
  <c r="L86" i="56"/>
  <c r="D153" i="56"/>
  <c r="F54" i="56"/>
  <c r="G159" i="56"/>
  <c r="H54" i="56"/>
  <c r="C19" i="56"/>
  <c r="J54" i="56"/>
  <c r="E77" i="56"/>
  <c r="C59" i="56"/>
  <c r="D19" i="56"/>
  <c r="L54" i="56"/>
  <c r="B59" i="56"/>
  <c r="C82" i="56"/>
  <c r="C142" i="56"/>
  <c r="D108" i="56"/>
  <c r="D142" i="56"/>
  <c r="C149" i="56"/>
  <c r="C169" i="56"/>
  <c r="D149" i="56"/>
  <c r="D169" i="56"/>
  <c r="C108" i="56"/>
  <c r="B142" i="56"/>
  <c r="B108" i="56"/>
  <c r="B169" i="56"/>
  <c r="B149" i="56"/>
  <c r="F169" i="56"/>
  <c r="C154" i="56"/>
  <c r="B137" i="56"/>
  <c r="C137" i="56"/>
  <c r="B154" i="56"/>
  <c r="E169" i="56"/>
  <c r="D137" i="56"/>
  <c r="D13" i="56"/>
  <c r="B24" i="56"/>
  <c r="C24" i="56"/>
  <c r="D44" i="56"/>
  <c r="D81" i="56"/>
  <c r="F113" i="56"/>
  <c r="G113" i="56" s="1"/>
  <c r="F187" i="56"/>
  <c r="G49" i="56"/>
  <c r="E54" i="56"/>
  <c r="B82" i="56"/>
  <c r="D181" i="56"/>
  <c r="H187" i="56"/>
  <c r="D197" i="56"/>
  <c r="E197" i="56" s="1"/>
  <c r="H33" i="56"/>
  <c r="B182" i="56"/>
  <c r="C54" i="56"/>
  <c r="G54" i="56"/>
  <c r="C182" i="56"/>
  <c r="B19" i="56"/>
  <c r="K192" i="56"/>
  <c r="C8" i="56"/>
  <c r="G12" i="56"/>
  <c r="C29" i="56"/>
  <c r="G112" i="56"/>
  <c r="I118" i="56" s="1"/>
  <c r="H192" i="56"/>
  <c r="K54" i="56"/>
  <c r="C192" i="56"/>
  <c r="D8" i="56"/>
  <c r="I54" i="56"/>
  <c r="C15" i="55"/>
  <c r="C35" i="55"/>
  <c r="D87" i="55"/>
  <c r="J93" i="55"/>
  <c r="D109" i="55"/>
  <c r="G124" i="55"/>
  <c r="C163" i="55"/>
  <c r="E179" i="55"/>
  <c r="E189" i="55"/>
  <c r="B248" i="55"/>
  <c r="H258" i="55"/>
  <c r="G268" i="55"/>
  <c r="C283" i="55"/>
  <c r="D15" i="55"/>
  <c r="K15" i="55"/>
  <c r="D40" i="55"/>
  <c r="C82" i="55"/>
  <c r="K93" i="55"/>
  <c r="I114" i="55"/>
  <c r="B130" i="55"/>
  <c r="D163" i="55"/>
  <c r="F179" i="55"/>
  <c r="D207" i="55"/>
  <c r="K213" i="55"/>
  <c r="B253" i="55"/>
  <c r="B202" i="55"/>
  <c r="F15" i="55"/>
  <c r="B50" i="55"/>
  <c r="N93" i="55"/>
  <c r="K114" i="55"/>
  <c r="F163" i="55"/>
  <c r="B184" i="55"/>
  <c r="C202" i="55"/>
  <c r="D213" i="55"/>
  <c r="M213" i="55"/>
  <c r="C258" i="55"/>
  <c r="B298" i="55"/>
  <c r="B189" i="55"/>
  <c r="G15" i="55"/>
  <c r="F20" i="55"/>
  <c r="B93" i="55"/>
  <c r="B98" i="55"/>
  <c r="D114" i="55"/>
  <c r="B124" i="55"/>
  <c r="C143" i="55"/>
  <c r="G163" i="55"/>
  <c r="C184" i="55"/>
  <c r="C207" i="55"/>
  <c r="E213" i="55"/>
  <c r="N213" i="55"/>
  <c r="D258" i="55"/>
  <c r="D263" i="55"/>
  <c r="C273" i="55"/>
  <c r="C298" i="55"/>
  <c r="E40" i="55"/>
  <c r="G30" i="55"/>
  <c r="D50" i="55"/>
  <c r="C93" i="55"/>
  <c r="C98" i="55"/>
  <c r="E114" i="55"/>
  <c r="C124" i="55"/>
  <c r="F207" i="55"/>
  <c r="F213" i="55"/>
  <c r="O213" i="55"/>
  <c r="C233" i="55"/>
  <c r="E258" i="55"/>
  <c r="C263" i="55"/>
  <c r="B278" i="55"/>
  <c r="D278" i="55" s="1"/>
  <c r="B303" i="55"/>
  <c r="G179" i="55"/>
  <c r="H15" i="55"/>
  <c r="L15" i="55"/>
  <c r="F114" i="55"/>
  <c r="E124" i="55"/>
  <c r="G207" i="55"/>
  <c r="G213" i="55"/>
  <c r="H213" i="55"/>
  <c r="B243" i="55"/>
  <c r="F258" i="55"/>
  <c r="E268" i="55"/>
  <c r="C278" i="55"/>
  <c r="C303" i="55"/>
  <c r="D10" i="55"/>
  <c r="B35" i="55"/>
  <c r="D35" i="55" s="1"/>
  <c r="F93" i="55"/>
  <c r="B163" i="55"/>
  <c r="D179" i="55"/>
  <c r="H207" i="55"/>
  <c r="I213" i="55"/>
  <c r="C243" i="55"/>
  <c r="G258" i="55"/>
  <c r="B283" i="55"/>
  <c r="E58" i="55"/>
  <c r="D248" i="55"/>
  <c r="D253" i="55"/>
  <c r="C179" i="55"/>
  <c r="J15" i="55"/>
  <c r="B179" i="55"/>
  <c r="E93" i="55"/>
  <c r="D158" i="55"/>
  <c r="B233" i="55"/>
  <c r="D233" i="55" s="1"/>
  <c r="B273" i="55"/>
  <c r="B293" i="55"/>
  <c r="B10" i="55"/>
  <c r="C30" i="55"/>
  <c r="H30" i="55" s="1"/>
  <c r="D34" i="55"/>
  <c r="B72" i="55"/>
  <c r="H76" i="55"/>
  <c r="E207" i="55"/>
  <c r="D252" i="55"/>
  <c r="D287" i="55"/>
  <c r="C293" i="55"/>
  <c r="M93" i="55"/>
  <c r="D98" i="55"/>
  <c r="L158" i="55"/>
  <c r="C10" i="55"/>
  <c r="E49" i="55"/>
  <c r="E57" i="55"/>
  <c r="E66" i="55"/>
  <c r="C72" i="55"/>
  <c r="D81" i="55"/>
  <c r="G86" i="55"/>
  <c r="G93" i="55"/>
  <c r="D142" i="55"/>
  <c r="G147" i="55"/>
  <c r="E217" i="55"/>
  <c r="B288" i="55"/>
  <c r="D124" i="55"/>
  <c r="C130" i="55"/>
  <c r="G45" i="55"/>
  <c r="B82" i="55"/>
  <c r="D82" i="55" s="1"/>
  <c r="C87" i="55"/>
  <c r="H93" i="55"/>
  <c r="B143" i="55"/>
  <c r="D223" i="55"/>
  <c r="D247" i="55"/>
  <c r="D282" i="55"/>
  <c r="D302" i="55"/>
  <c r="I93" i="55"/>
  <c r="E103" i="55"/>
  <c r="D201" i="55"/>
  <c r="D218" i="55"/>
  <c r="E218" i="55" s="1"/>
  <c r="E97" i="55"/>
  <c r="D242" i="55"/>
  <c r="D277" i="55"/>
  <c r="D297" i="55"/>
  <c r="B45" i="55"/>
  <c r="B14" i="54"/>
  <c r="H24" i="54"/>
  <c r="H29" i="54"/>
  <c r="G39" i="54"/>
  <c r="G73" i="54"/>
  <c r="B91" i="54"/>
  <c r="E109" i="54"/>
  <c r="B8" i="54"/>
  <c r="G24" i="54"/>
  <c r="F24" i="54"/>
  <c r="E34" i="54"/>
  <c r="J39" i="54"/>
  <c r="D91" i="54"/>
  <c r="J117" i="54"/>
  <c r="H39" i="54"/>
  <c r="C141" i="54"/>
  <c r="D8" i="54"/>
  <c r="D29" i="54"/>
  <c r="L39" i="54"/>
  <c r="C14" i="54"/>
  <c r="C91" i="54"/>
  <c r="D109" i="54"/>
  <c r="F8" i="54"/>
  <c r="G8" i="54"/>
  <c r="D39" i="54"/>
  <c r="C128" i="54"/>
  <c r="B39" i="54"/>
  <c r="F84" i="54"/>
  <c r="H8" i="54"/>
  <c r="F39" i="54"/>
  <c r="G19" i="54"/>
  <c r="J118" i="54"/>
  <c r="I7" i="54"/>
  <c r="D14" i="54"/>
  <c r="F34" i="54"/>
  <c r="I34" i="54" s="1"/>
  <c r="C39" i="54"/>
  <c r="K39" i="54"/>
  <c r="C84" i="54"/>
  <c r="D128" i="54"/>
  <c r="F109" i="54"/>
  <c r="B141" i="54"/>
  <c r="G34" i="54"/>
  <c r="D84" i="54"/>
  <c r="D95" i="54"/>
  <c r="F103" i="54"/>
  <c r="E39" i="54"/>
  <c r="G58" i="54"/>
  <c r="E84" i="54"/>
  <c r="E90" i="54"/>
  <c r="C104" i="54"/>
  <c r="F104" i="54" s="1"/>
  <c r="G108" i="54"/>
  <c r="F128" i="54"/>
  <c r="I151" i="54"/>
  <c r="I39" i="54"/>
  <c r="E13" i="54"/>
  <c r="C69" i="54" s="1"/>
  <c r="G18" i="54"/>
  <c r="G84" i="54"/>
  <c r="K46" i="53"/>
  <c r="E17" i="53"/>
  <c r="D224" i="51"/>
  <c r="G259" i="51"/>
  <c r="E23" i="52"/>
  <c r="E169" i="52" s="1"/>
  <c r="L41" i="53"/>
  <c r="I46" i="53"/>
  <c r="I66" i="53"/>
  <c r="E104" i="53"/>
  <c r="H109" i="53"/>
  <c r="F45" i="51"/>
  <c r="D119" i="51"/>
  <c r="C148" i="51"/>
  <c r="F224" i="51"/>
  <c r="I239" i="51"/>
  <c r="D39" i="52"/>
  <c r="G45" i="51"/>
  <c r="M214" i="51"/>
  <c r="D278" i="51"/>
  <c r="D298" i="51"/>
  <c r="G39" i="52"/>
  <c r="H202" i="52"/>
  <c r="D46" i="53"/>
  <c r="D118" i="52"/>
  <c r="I45" i="51"/>
  <c r="H153" i="51"/>
  <c r="I153" i="51"/>
  <c r="D243" i="51"/>
  <c r="B129" i="53"/>
  <c r="E129" i="53"/>
  <c r="B13" i="53"/>
  <c r="E56" i="53"/>
  <c r="F129" i="53"/>
  <c r="F56" i="53"/>
  <c r="G129" i="53"/>
  <c r="G56" i="53"/>
  <c r="K56" i="53"/>
  <c r="C99" i="53"/>
  <c r="C139" i="53"/>
  <c r="C104" i="53"/>
  <c r="E139" i="53"/>
  <c r="D104" i="53"/>
  <c r="C152" i="53"/>
  <c r="C56" i="53"/>
  <c r="D36" i="53"/>
  <c r="I82" i="53"/>
  <c r="D12" i="53"/>
  <c r="E36" i="53"/>
  <c r="I104" i="53"/>
  <c r="D139" i="53"/>
  <c r="E7" i="53"/>
  <c r="H67" i="53" s="1"/>
  <c r="F36" i="53"/>
  <c r="J46" i="53"/>
  <c r="F99" i="53"/>
  <c r="L56" i="53"/>
  <c r="C13" i="53"/>
  <c r="C46" i="53"/>
  <c r="H56" i="53"/>
  <c r="H71" i="53"/>
  <c r="E109" i="53"/>
  <c r="H129" i="53"/>
  <c r="F139" i="53"/>
  <c r="B152" i="53"/>
  <c r="D56" i="53"/>
  <c r="H41" i="53"/>
  <c r="I56" i="53"/>
  <c r="D129" i="53"/>
  <c r="B139" i="53"/>
  <c r="B56" i="53"/>
  <c r="J56" i="53"/>
  <c r="G98" i="53"/>
  <c r="E239" i="51"/>
  <c r="C118" i="52"/>
  <c r="E118" i="52"/>
  <c r="G187" i="52"/>
  <c r="H119" i="51"/>
  <c r="G77" i="51"/>
  <c r="K158" i="51"/>
  <c r="H39" i="52"/>
  <c r="H118" i="52"/>
  <c r="I29" i="52"/>
  <c r="C49" i="52"/>
  <c r="C44" i="52"/>
  <c r="H87" i="52"/>
  <c r="E153" i="51"/>
  <c r="D148" i="51"/>
  <c r="I15" i="51"/>
  <c r="G30" i="51"/>
  <c r="D45" i="51"/>
  <c r="F87" i="51"/>
  <c r="F114" i="51"/>
  <c r="H114" i="51"/>
  <c r="D153" i="51"/>
  <c r="G214" i="51"/>
  <c r="J214" i="51"/>
  <c r="G239" i="51"/>
  <c r="I259" i="51"/>
  <c r="G44" i="52"/>
  <c r="D67" i="52"/>
  <c r="G118" i="52"/>
  <c r="J119" i="51"/>
  <c r="K119" i="51"/>
  <c r="D129" i="51"/>
  <c r="H162" i="51"/>
  <c r="D233" i="51"/>
  <c r="J239" i="51"/>
  <c r="E263" i="51"/>
  <c r="H269" i="51"/>
  <c r="D109" i="51"/>
  <c r="E119" i="51"/>
  <c r="G208" i="51"/>
  <c r="H29" i="52"/>
  <c r="F49" i="52"/>
  <c r="J87" i="52"/>
  <c r="D202" i="52"/>
  <c r="C190" i="51"/>
  <c r="F119" i="51"/>
  <c r="H208" i="51"/>
  <c r="D34" i="52"/>
  <c r="D49" i="52"/>
  <c r="E202" i="52"/>
  <c r="G12" i="52"/>
  <c r="D29" i="52"/>
  <c r="F39" i="52"/>
  <c r="H43" i="52"/>
  <c r="I54" i="52"/>
  <c r="L86" i="52"/>
  <c r="H123" i="52"/>
  <c r="K192" i="52"/>
  <c r="F202" i="52"/>
  <c r="B49" i="52"/>
  <c r="G34" i="52"/>
  <c r="F39" i="51"/>
  <c r="G109" i="51"/>
  <c r="I119" i="51"/>
  <c r="F29" i="52"/>
  <c r="F34" i="52"/>
  <c r="G87" i="52"/>
  <c r="B8" i="52"/>
  <c r="K15" i="51"/>
  <c r="K214" i="51"/>
  <c r="J259" i="51"/>
  <c r="G49" i="52"/>
  <c r="D87" i="52"/>
  <c r="J29" i="52"/>
  <c r="E87" i="52"/>
  <c r="I114" i="51"/>
  <c r="J114" i="51"/>
  <c r="D269" i="51"/>
  <c r="H19" i="51"/>
  <c r="H29" i="51"/>
  <c r="C45" i="51"/>
  <c r="C58" i="51"/>
  <c r="D104" i="51"/>
  <c r="G114" i="51"/>
  <c r="G119" i="51"/>
  <c r="H179" i="51"/>
  <c r="H259" i="51"/>
  <c r="G269" i="51"/>
  <c r="E13" i="52"/>
  <c r="I123" i="52"/>
  <c r="B19" i="52"/>
  <c r="L54" i="52"/>
  <c r="C123" i="52"/>
  <c r="C19" i="52"/>
  <c r="B59" i="52"/>
  <c r="D123" i="52"/>
  <c r="K54" i="52"/>
  <c r="C54" i="52"/>
  <c r="C59" i="52"/>
  <c r="E123" i="52"/>
  <c r="B13" i="52"/>
  <c r="B24" i="52"/>
  <c r="D54" i="52"/>
  <c r="F123" i="52"/>
  <c r="E54" i="52"/>
  <c r="D8" i="52"/>
  <c r="J54" i="52"/>
  <c r="D13" i="52"/>
  <c r="C87" i="52"/>
  <c r="L87" i="52" s="1"/>
  <c r="C24" i="52"/>
  <c r="G29" i="52"/>
  <c r="D81" i="52"/>
  <c r="D181" i="52"/>
  <c r="C13" i="52"/>
  <c r="F187" i="52"/>
  <c r="F13" i="52"/>
  <c r="D19" i="52"/>
  <c r="D24" i="52"/>
  <c r="C39" i="52"/>
  <c r="B82" i="52"/>
  <c r="F87" i="52"/>
  <c r="B182" i="52"/>
  <c r="K87" i="52"/>
  <c r="D197" i="52"/>
  <c r="H33" i="52"/>
  <c r="F44" i="52"/>
  <c r="H49" i="52"/>
  <c r="F54" i="52"/>
  <c r="E66" i="52"/>
  <c r="E76" i="52"/>
  <c r="C82" i="52"/>
  <c r="G112" i="52"/>
  <c r="I118" i="52" s="1"/>
  <c r="F118" i="52"/>
  <c r="C182" i="52"/>
  <c r="C192" i="52"/>
  <c r="C34" i="52"/>
  <c r="G54" i="52"/>
  <c r="D58" i="52"/>
  <c r="C67" i="52"/>
  <c r="C77" i="52"/>
  <c r="D153" i="52"/>
  <c r="F159" i="52"/>
  <c r="H192" i="52"/>
  <c r="C8" i="52"/>
  <c r="C29" i="52"/>
  <c r="E136" i="52"/>
  <c r="E141" i="52"/>
  <c r="E148" i="52"/>
  <c r="D187" i="52"/>
  <c r="I192" i="52"/>
  <c r="E196" i="52"/>
  <c r="B54" i="52"/>
  <c r="C203" i="51"/>
  <c r="D40" i="51"/>
  <c r="E40" i="51"/>
  <c r="D67" i="51"/>
  <c r="G224" i="51"/>
  <c r="L15" i="51"/>
  <c r="C87" i="51"/>
  <c r="G87" i="51" s="1"/>
  <c r="K114" i="51"/>
  <c r="D208" i="51"/>
  <c r="N214" i="51"/>
  <c r="H224" i="51"/>
  <c r="D259" i="51"/>
  <c r="D264" i="51"/>
  <c r="E9" i="51"/>
  <c r="B82" i="51" s="1"/>
  <c r="E20" i="51"/>
  <c r="E87" i="51"/>
  <c r="D114" i="51"/>
  <c r="J158" i="51"/>
  <c r="F158" i="51"/>
  <c r="D190" i="51"/>
  <c r="C214" i="51"/>
  <c r="O214" i="51"/>
  <c r="E259" i="51"/>
  <c r="C264" i="51"/>
  <c r="F15" i="51"/>
  <c r="F30" i="51"/>
  <c r="B45" i="51"/>
  <c r="E114" i="51"/>
  <c r="F148" i="51"/>
  <c r="G158" i="51"/>
  <c r="F190" i="51"/>
  <c r="E214" i="51"/>
  <c r="H214" i="51"/>
  <c r="F259" i="51"/>
  <c r="F269" i="51"/>
  <c r="G180" i="51"/>
  <c r="J45" i="51"/>
  <c r="G15" i="51"/>
  <c r="H158" i="51"/>
  <c r="D180" i="51"/>
  <c r="B203" i="51"/>
  <c r="D203" i="51" s="1"/>
  <c r="F214" i="51"/>
  <c r="C219" i="51"/>
  <c r="B185" i="51"/>
  <c r="C208" i="51"/>
  <c r="B180" i="51"/>
  <c r="L158" i="51"/>
  <c r="C180" i="51"/>
  <c r="B10" i="51"/>
  <c r="D34" i="51"/>
  <c r="H76" i="51"/>
  <c r="E158" i="51"/>
  <c r="M158" i="51"/>
  <c r="B190" i="51"/>
  <c r="E208" i="51"/>
  <c r="I214" i="51"/>
  <c r="D253" i="51"/>
  <c r="D288" i="51"/>
  <c r="C10" i="51"/>
  <c r="E15" i="51"/>
  <c r="M15" i="51"/>
  <c r="D30" i="51"/>
  <c r="E49" i="51"/>
  <c r="E57" i="51"/>
  <c r="E66" i="51"/>
  <c r="D81" i="51"/>
  <c r="G86" i="51"/>
  <c r="D142" i="51"/>
  <c r="G147" i="51"/>
  <c r="G153" i="51"/>
  <c r="E180" i="51"/>
  <c r="C185" i="51"/>
  <c r="F208" i="51"/>
  <c r="E218" i="51"/>
  <c r="D158" i="51"/>
  <c r="D10" i="51"/>
  <c r="D248" i="51"/>
  <c r="D283" i="51"/>
  <c r="D303" i="51"/>
  <c r="H45" i="51"/>
  <c r="E103" i="51"/>
  <c r="E190" i="51"/>
  <c r="D202" i="51"/>
  <c r="D214" i="51"/>
  <c r="L214" i="51"/>
  <c r="D219" i="51"/>
  <c r="H15" i="51"/>
  <c r="E97" i="51"/>
  <c r="E148" i="51"/>
  <c r="I158" i="51"/>
  <c r="D151" i="49"/>
  <c r="D46" i="49"/>
  <c r="I46" i="49"/>
  <c r="I56" i="49"/>
  <c r="D128" i="49"/>
  <c r="J46" i="49"/>
  <c r="H128" i="49"/>
  <c r="B128" i="49"/>
  <c r="C128" i="49"/>
  <c r="E36" i="49"/>
  <c r="K46" i="49"/>
  <c r="H56" i="49"/>
  <c r="B138" i="49"/>
  <c r="B56" i="49"/>
  <c r="G23" i="49"/>
  <c r="H62" i="49"/>
  <c r="E77" i="49"/>
  <c r="G87" i="49"/>
  <c r="H23" i="49"/>
  <c r="I62" i="49"/>
  <c r="F77" i="49"/>
  <c r="B133" i="49"/>
  <c r="I23" i="49"/>
  <c r="B62" i="49"/>
  <c r="E72" i="49"/>
  <c r="G77" i="49"/>
  <c r="B114" i="49"/>
  <c r="B8" i="49"/>
  <c r="E8" i="49" s="1"/>
  <c r="B23" i="49"/>
  <c r="C62" i="49"/>
  <c r="F72" i="49"/>
  <c r="H77" i="49"/>
  <c r="C114" i="49"/>
  <c r="C8" i="49"/>
  <c r="C23" i="49"/>
  <c r="D62" i="49"/>
  <c r="I77" i="49"/>
  <c r="C87" i="49"/>
  <c r="H82" i="49"/>
  <c r="G82" i="49"/>
  <c r="D72" i="49"/>
  <c r="F87" i="49"/>
  <c r="C82" i="49"/>
  <c r="F82" i="49"/>
  <c r="C72" i="49"/>
  <c r="H67" i="49"/>
  <c r="C93" i="49"/>
  <c r="D67" i="49"/>
  <c r="E67" i="49"/>
  <c r="C31" i="49"/>
  <c r="C18" i="49"/>
  <c r="D82" i="49"/>
  <c r="F67" i="49"/>
  <c r="E114" i="49"/>
  <c r="D18" i="49"/>
  <c r="C51" i="49"/>
  <c r="C133" i="49"/>
  <c r="D114" i="49"/>
  <c r="E87" i="49"/>
  <c r="G72" i="49"/>
  <c r="D23" i="49"/>
  <c r="E62" i="49"/>
  <c r="B77" i="49"/>
  <c r="D87" i="49"/>
  <c r="E23" i="49"/>
  <c r="F62" i="49"/>
  <c r="G67" i="49"/>
  <c r="C77" i="49"/>
  <c r="F114" i="49"/>
  <c r="F23" i="49"/>
  <c r="G62" i="49"/>
  <c r="D77" i="49"/>
  <c r="E82" i="49"/>
  <c r="G114" i="49"/>
  <c r="E128" i="49"/>
  <c r="C138" i="49"/>
  <c r="B31" i="49"/>
  <c r="C36" i="49"/>
  <c r="B51" i="49"/>
  <c r="C67" i="49"/>
  <c r="B93" i="49"/>
  <c r="C98" i="49"/>
  <c r="G98" i="49" s="1"/>
  <c r="E56" i="49"/>
  <c r="F56" i="49"/>
  <c r="B13" i="49"/>
  <c r="F36" i="49"/>
  <c r="F41" i="49"/>
  <c r="G56" i="49"/>
  <c r="D108" i="49"/>
  <c r="G128" i="49"/>
  <c r="E138" i="49"/>
  <c r="D150" i="49"/>
  <c r="D138" i="49"/>
  <c r="C13" i="49"/>
  <c r="F128" i="49"/>
  <c r="H86" i="49"/>
  <c r="E103" i="49"/>
  <c r="G35" i="49"/>
  <c r="C56" i="49"/>
  <c r="K56" i="49"/>
  <c r="J54" i="48"/>
  <c r="F159" i="48"/>
  <c r="H159" i="48" s="1"/>
  <c r="L192" i="48"/>
  <c r="F13" i="48"/>
  <c r="E49" i="48"/>
  <c r="C59" i="48"/>
  <c r="D59" i="48" s="1"/>
  <c r="D187" i="48"/>
  <c r="K192" i="48"/>
  <c r="B49" i="48"/>
  <c r="C82" i="48"/>
  <c r="H192" i="48"/>
  <c r="E44" i="48"/>
  <c r="F49" i="48"/>
  <c r="C67" i="48"/>
  <c r="E67" i="48" s="1"/>
  <c r="E187" i="48"/>
  <c r="M192" i="48"/>
  <c r="B59" i="48"/>
  <c r="C19" i="48"/>
  <c r="H49" i="48"/>
  <c r="G187" i="48"/>
  <c r="N192" i="48"/>
  <c r="C197" i="48"/>
  <c r="B8" i="48"/>
  <c r="F8" i="48" s="1"/>
  <c r="C44" i="48"/>
  <c r="B54" i="48"/>
  <c r="B182" i="48"/>
  <c r="H187" i="48"/>
  <c r="D192" i="48"/>
  <c r="E23" i="48"/>
  <c r="D108" i="48" s="1"/>
  <c r="H39" i="48"/>
  <c r="F54" i="48"/>
  <c r="C182" i="48"/>
  <c r="C192" i="48"/>
  <c r="G192" i="48"/>
  <c r="C13" i="48"/>
  <c r="I54" i="48"/>
  <c r="B13" i="48"/>
  <c r="C187" i="48"/>
  <c r="E192" i="48"/>
  <c r="B137" i="48"/>
  <c r="C149" i="48"/>
  <c r="B142" i="48"/>
  <c r="B154" i="48"/>
  <c r="C108" i="48"/>
  <c r="C169" i="48"/>
  <c r="D149" i="48"/>
  <c r="D142" i="48"/>
  <c r="C142" i="48"/>
  <c r="C154" i="48"/>
  <c r="C87" i="48"/>
  <c r="L87" i="48" s="1"/>
  <c r="F113" i="48"/>
  <c r="G113" i="48" s="1"/>
  <c r="C137" i="48"/>
  <c r="D197" i="48"/>
  <c r="D13" i="48"/>
  <c r="C54" i="48"/>
  <c r="D54" i="48"/>
  <c r="L54" i="48"/>
  <c r="D81" i="48"/>
  <c r="D118" i="48"/>
  <c r="D181" i="48"/>
  <c r="B19" i="48"/>
  <c r="B24" i="48"/>
  <c r="K54" i="48"/>
  <c r="C24" i="48"/>
  <c r="D24" i="48"/>
  <c r="E54" i="48"/>
  <c r="B82" i="48"/>
  <c r="H158" i="48"/>
  <c r="G34" i="48"/>
  <c r="I29" i="48"/>
  <c r="H33" i="48"/>
  <c r="G112" i="48"/>
  <c r="I118" i="48" s="1"/>
  <c r="C34" i="48"/>
  <c r="H34" i="48" s="1"/>
  <c r="D58" i="48"/>
  <c r="B108" i="48"/>
  <c r="D153" i="48"/>
  <c r="C8" i="48"/>
  <c r="G12" i="48"/>
  <c r="C29" i="48"/>
  <c r="K29" i="48"/>
  <c r="H54" i="48"/>
  <c r="K114" i="47"/>
  <c r="M15" i="47"/>
  <c r="C87" i="47"/>
  <c r="D114" i="47"/>
  <c r="C185" i="47"/>
  <c r="H208" i="47"/>
  <c r="L214" i="47"/>
  <c r="E259" i="47"/>
  <c r="J15" i="47"/>
  <c r="D190" i="47"/>
  <c r="M214" i="47"/>
  <c r="F259" i="47"/>
  <c r="D269" i="47"/>
  <c r="E190" i="47"/>
  <c r="G114" i="47"/>
  <c r="G119" i="47"/>
  <c r="D180" i="47"/>
  <c r="C214" i="47"/>
  <c r="O214" i="47"/>
  <c r="H259" i="47"/>
  <c r="G269" i="47"/>
  <c r="E15" i="47"/>
  <c r="F180" i="47"/>
  <c r="N214" i="47"/>
  <c r="D214" i="47"/>
  <c r="C219" i="47"/>
  <c r="E219" i="47" s="1"/>
  <c r="C180" i="47"/>
  <c r="I114" i="47"/>
  <c r="E214" i="47"/>
  <c r="J259" i="47"/>
  <c r="D10" i="47"/>
  <c r="F15" i="47"/>
  <c r="D40" i="47"/>
  <c r="D109" i="47"/>
  <c r="G180" i="47"/>
  <c r="D208" i="47"/>
  <c r="D219" i="47"/>
  <c r="F269" i="47"/>
  <c r="G15" i="47"/>
  <c r="E208" i="47"/>
  <c r="F214" i="47"/>
  <c r="C259" i="47"/>
  <c r="C203" i="47"/>
  <c r="G208" i="47"/>
  <c r="E264" i="47"/>
  <c r="G87" i="47"/>
  <c r="D185" i="47"/>
  <c r="E9" i="47"/>
  <c r="C234" i="47" s="1"/>
  <c r="C15" i="47"/>
  <c r="K15" i="47"/>
  <c r="H19" i="47"/>
  <c r="H29" i="47"/>
  <c r="F39" i="47"/>
  <c r="D71" i="47"/>
  <c r="H162" i="47"/>
  <c r="D184" i="47"/>
  <c r="H214" i="47"/>
  <c r="B10" i="47"/>
  <c r="C30" i="47"/>
  <c r="H30" i="47" s="1"/>
  <c r="D34" i="47"/>
  <c r="C40" i="47"/>
  <c r="H76" i="47"/>
  <c r="B190" i="47"/>
  <c r="I214" i="47"/>
  <c r="D253" i="47"/>
  <c r="D288" i="47"/>
  <c r="D153" i="47"/>
  <c r="C10" i="47"/>
  <c r="D30" i="47"/>
  <c r="E49" i="47"/>
  <c r="E57" i="47"/>
  <c r="E66" i="47"/>
  <c r="C77" i="47"/>
  <c r="H77" i="47" s="1"/>
  <c r="G86" i="47"/>
  <c r="G147" i="47"/>
  <c r="G153" i="47"/>
  <c r="F158" i="47"/>
  <c r="E180" i="47"/>
  <c r="C190" i="47"/>
  <c r="F208" i="47"/>
  <c r="J214" i="47"/>
  <c r="E218" i="47"/>
  <c r="G158" i="47"/>
  <c r="D248" i="47"/>
  <c r="D283" i="47"/>
  <c r="D303" i="47"/>
  <c r="E103" i="47"/>
  <c r="D202" i="47"/>
  <c r="H15" i="47"/>
  <c r="E97" i="47"/>
  <c r="C104" i="47"/>
  <c r="E104" i="47" s="1"/>
  <c r="E148" i="47"/>
  <c r="G148" i="47" s="1"/>
  <c r="B203" i="47"/>
  <c r="D278" i="47"/>
  <c r="D298" i="47"/>
  <c r="B180" i="47"/>
  <c r="B45" i="47"/>
  <c r="E46" i="46"/>
  <c r="E59" i="46"/>
  <c r="E54" i="46"/>
  <c r="D64" i="46"/>
  <c r="B64" i="46"/>
  <c r="G54" i="46"/>
  <c r="C64" i="46"/>
  <c r="G18" i="46"/>
  <c r="D128" i="46"/>
  <c r="E8" i="46"/>
  <c r="F19" i="46"/>
  <c r="K39" i="46"/>
  <c r="B8" i="46"/>
  <c r="E24" i="46"/>
  <c r="F39" i="46"/>
  <c r="G24" i="46"/>
  <c r="I39" i="46"/>
  <c r="F8" i="46"/>
  <c r="B39" i="46"/>
  <c r="E19" i="46"/>
  <c r="C39" i="46"/>
  <c r="G74" i="46"/>
  <c r="F24" i="46"/>
  <c r="I63" i="46"/>
  <c r="H8" i="46"/>
  <c r="D39" i="46"/>
  <c r="L39" i="46"/>
  <c r="E39" i="46"/>
  <c r="E156" i="46"/>
  <c r="B54" i="46"/>
  <c r="B59" i="46"/>
  <c r="C46" i="46"/>
  <c r="C59" i="46"/>
  <c r="F59" i="46"/>
  <c r="D59" i="46"/>
  <c r="I34" i="46"/>
  <c r="B96" i="46"/>
  <c r="H39" i="46"/>
  <c r="C141" i="46"/>
  <c r="D14" i="46"/>
  <c r="B118" i="46"/>
  <c r="J118" i="46" s="1"/>
  <c r="C91" i="46"/>
  <c r="C14" i="46"/>
  <c r="D91" i="46"/>
  <c r="B14" i="46"/>
  <c r="G39" i="46"/>
  <c r="E64" i="46"/>
  <c r="B128" i="46"/>
  <c r="B141" i="46"/>
  <c r="I33" i="46"/>
  <c r="I7" i="46"/>
  <c r="C118" i="46"/>
  <c r="C84" i="46"/>
  <c r="F103" i="46"/>
  <c r="G108" i="46"/>
  <c r="F128" i="46"/>
  <c r="I23" i="46"/>
  <c r="C128" i="46"/>
  <c r="E128" i="46"/>
  <c r="D84" i="46"/>
  <c r="D95" i="46"/>
  <c r="C104" i="46"/>
  <c r="F104" i="46" s="1"/>
  <c r="E155" i="46"/>
  <c r="E90" i="46"/>
  <c r="E122" i="46"/>
  <c r="G58" i="46"/>
  <c r="G74" i="62" l="1"/>
  <c r="E156" i="62"/>
  <c r="H159" i="52"/>
  <c r="E67" i="51"/>
  <c r="F104" i="62"/>
  <c r="E77" i="52"/>
  <c r="C137" i="52"/>
  <c r="G109" i="62"/>
  <c r="G113" i="52"/>
  <c r="B154" i="52"/>
  <c r="J118" i="62"/>
  <c r="I8" i="62"/>
  <c r="D202" i="55"/>
  <c r="H159" i="66"/>
  <c r="D154" i="71"/>
  <c r="I83" i="72"/>
  <c r="D203" i="47"/>
  <c r="F169" i="48"/>
  <c r="B149" i="48"/>
  <c r="E149" i="48" s="1"/>
  <c r="E24" i="48"/>
  <c r="D137" i="48"/>
  <c r="B169" i="48"/>
  <c r="D133" i="49"/>
  <c r="I24" i="46"/>
  <c r="D134" i="72"/>
  <c r="E54" i="64"/>
  <c r="C96" i="64"/>
  <c r="C69" i="64"/>
  <c r="E77" i="66"/>
  <c r="I64" i="68"/>
  <c r="D96" i="68"/>
  <c r="F46" i="68"/>
  <c r="E108" i="71"/>
  <c r="D69" i="68"/>
  <c r="G59" i="68"/>
  <c r="B54" i="64"/>
  <c r="I54" i="68"/>
  <c r="F40" i="55"/>
  <c r="D184" i="55"/>
  <c r="H159" i="56"/>
  <c r="C51" i="57"/>
  <c r="I78" i="57"/>
  <c r="D64" i="54"/>
  <c r="E24" i="56"/>
  <c r="D137" i="52"/>
  <c r="D108" i="52"/>
  <c r="E67" i="52"/>
  <c r="C169" i="52"/>
  <c r="D149" i="52"/>
  <c r="B142" i="52"/>
  <c r="D169" i="52"/>
  <c r="F169" i="52"/>
  <c r="E91" i="62"/>
  <c r="I24" i="62"/>
  <c r="B108" i="52"/>
  <c r="C149" i="52"/>
  <c r="B46" i="46"/>
  <c r="G19" i="46"/>
  <c r="D46" i="46"/>
  <c r="F46" i="46" s="1"/>
  <c r="C96" i="46"/>
  <c r="C82" i="47"/>
  <c r="F64" i="46"/>
  <c r="E14" i="46"/>
  <c r="D54" i="46"/>
  <c r="B254" i="47"/>
  <c r="G13" i="48"/>
  <c r="D182" i="48"/>
  <c r="D96" i="46"/>
  <c r="G64" i="46"/>
  <c r="C54" i="46"/>
  <c r="B69" i="46"/>
  <c r="H54" i="46"/>
  <c r="C69" i="46"/>
  <c r="D69" i="46" s="1"/>
  <c r="F54" i="46"/>
  <c r="E19" i="48"/>
  <c r="E197" i="48"/>
  <c r="H72" i="49"/>
  <c r="E98" i="70"/>
  <c r="D82" i="70"/>
  <c r="E137" i="71"/>
  <c r="D35" i="70"/>
  <c r="B169" i="52"/>
  <c r="C108" i="52"/>
  <c r="E58" i="51"/>
  <c r="E197" i="52"/>
  <c r="B149" i="52"/>
  <c r="B137" i="52"/>
  <c r="H77" i="51"/>
  <c r="F88" i="53"/>
  <c r="C142" i="52"/>
  <c r="D142" i="52"/>
  <c r="I34" i="62"/>
  <c r="B279" i="51"/>
  <c r="C154" i="52"/>
  <c r="F8" i="52"/>
  <c r="C72" i="51"/>
  <c r="B294" i="51"/>
  <c r="C134" i="53"/>
  <c r="B154" i="66"/>
  <c r="D46" i="64"/>
  <c r="B142" i="66"/>
  <c r="B169" i="66"/>
  <c r="B96" i="64"/>
  <c r="F59" i="64"/>
  <c r="G64" i="64"/>
  <c r="E67" i="66"/>
  <c r="E14" i="64"/>
  <c r="B108" i="66"/>
  <c r="F64" i="64"/>
  <c r="B69" i="64"/>
  <c r="D69" i="64" s="1"/>
  <c r="E169" i="66"/>
  <c r="D64" i="64"/>
  <c r="H64" i="64"/>
  <c r="D137" i="66"/>
  <c r="G54" i="64"/>
  <c r="D149" i="66"/>
  <c r="I8" i="64"/>
  <c r="F40" i="65"/>
  <c r="C130" i="65"/>
  <c r="G124" i="65"/>
  <c r="G87" i="65"/>
  <c r="B98" i="65"/>
  <c r="D54" i="64"/>
  <c r="C64" i="64"/>
  <c r="C59" i="64"/>
  <c r="C54" i="64"/>
  <c r="B289" i="65"/>
  <c r="E58" i="65"/>
  <c r="D59" i="64"/>
  <c r="D13" i="67"/>
  <c r="E219" i="65"/>
  <c r="H77" i="65"/>
  <c r="E67" i="65"/>
  <c r="E64" i="64"/>
  <c r="C46" i="64"/>
  <c r="B64" i="64"/>
  <c r="B299" i="65"/>
  <c r="B59" i="64"/>
  <c r="E46" i="64"/>
  <c r="F54" i="64"/>
  <c r="D185" i="65"/>
  <c r="G99" i="67"/>
  <c r="H54" i="64"/>
  <c r="B46" i="64"/>
  <c r="G19" i="64"/>
  <c r="F23" i="67"/>
  <c r="D141" i="64"/>
  <c r="E23" i="67"/>
  <c r="C163" i="65"/>
  <c r="C83" i="67"/>
  <c r="H67" i="67"/>
  <c r="E83" i="67"/>
  <c r="G78" i="67"/>
  <c r="D23" i="67"/>
  <c r="D62" i="67"/>
  <c r="G74" i="64"/>
  <c r="G36" i="67"/>
  <c r="C62" i="67"/>
  <c r="E156" i="54"/>
  <c r="G64" i="54"/>
  <c r="G36" i="57"/>
  <c r="H78" i="57"/>
  <c r="D141" i="54"/>
  <c r="G148" i="55"/>
  <c r="G99" i="57"/>
  <c r="I24" i="54"/>
  <c r="E50" i="55"/>
  <c r="D82" i="56"/>
  <c r="D283" i="55"/>
  <c r="D284" i="70"/>
  <c r="D244" i="70"/>
  <c r="E50" i="70"/>
  <c r="D143" i="70"/>
  <c r="D254" i="70"/>
  <c r="D130" i="70"/>
  <c r="D299" i="70"/>
  <c r="D289" i="70"/>
  <c r="D274" i="70"/>
  <c r="H163" i="70"/>
  <c r="D72" i="70"/>
  <c r="D294" i="70"/>
  <c r="D279" i="70"/>
  <c r="D249" i="70"/>
  <c r="C134" i="67"/>
  <c r="E62" i="67"/>
  <c r="B8" i="67"/>
  <c r="E8" i="67" s="1"/>
  <c r="G23" i="67"/>
  <c r="C72" i="67"/>
  <c r="C94" i="67"/>
  <c r="B23" i="67"/>
  <c r="D115" i="67"/>
  <c r="H62" i="67"/>
  <c r="D67" i="67"/>
  <c r="G62" i="67"/>
  <c r="H23" i="67"/>
  <c r="F78" i="67"/>
  <c r="D78" i="67"/>
  <c r="C51" i="67"/>
  <c r="G72" i="67"/>
  <c r="D18" i="67"/>
  <c r="D72" i="67"/>
  <c r="C78" i="67"/>
  <c r="E88" i="67"/>
  <c r="E67" i="67"/>
  <c r="H83" i="67"/>
  <c r="I62" i="67"/>
  <c r="C23" i="67"/>
  <c r="B78" i="67"/>
  <c r="I23" i="67"/>
  <c r="B62" i="67"/>
  <c r="F83" i="67"/>
  <c r="B115" i="67"/>
  <c r="C88" i="67"/>
  <c r="E72" i="67"/>
  <c r="G83" i="67"/>
  <c r="B134" i="67"/>
  <c r="D88" i="67"/>
  <c r="C8" i="67"/>
  <c r="B94" i="67"/>
  <c r="G67" i="67"/>
  <c r="F115" i="67"/>
  <c r="G88" i="67"/>
  <c r="D83" i="67"/>
  <c r="F67" i="67"/>
  <c r="F72" i="67"/>
  <c r="B51" i="67"/>
  <c r="B31" i="67"/>
  <c r="E115" i="67"/>
  <c r="F88" i="67"/>
  <c r="C115" i="67"/>
  <c r="C67" i="67"/>
  <c r="C31" i="67"/>
  <c r="I78" i="67"/>
  <c r="H78" i="67"/>
  <c r="C18" i="67"/>
  <c r="E78" i="67"/>
  <c r="F62" i="67"/>
  <c r="C137" i="66"/>
  <c r="F169" i="66"/>
  <c r="C142" i="66"/>
  <c r="C149" i="66"/>
  <c r="B149" i="66"/>
  <c r="C169" i="66"/>
  <c r="C154" i="66"/>
  <c r="C108" i="66"/>
  <c r="B137" i="66"/>
  <c r="D142" i="66"/>
  <c r="D169" i="66"/>
  <c r="F8" i="66"/>
  <c r="E91" i="64"/>
  <c r="G13" i="66"/>
  <c r="E264" i="65"/>
  <c r="I24" i="64"/>
  <c r="D50" i="65"/>
  <c r="D124" i="65"/>
  <c r="H180" i="65"/>
  <c r="C304" i="65"/>
  <c r="B294" i="65"/>
  <c r="G113" i="66"/>
  <c r="D183" i="66"/>
  <c r="E198" i="66"/>
  <c r="D59" i="66"/>
  <c r="E19" i="66"/>
  <c r="D82" i="66"/>
  <c r="E24" i="66"/>
  <c r="E10" i="65"/>
  <c r="B284" i="65"/>
  <c r="K93" i="65"/>
  <c r="G163" i="65"/>
  <c r="B35" i="65"/>
  <c r="M93" i="65"/>
  <c r="C294" i="65"/>
  <c r="D203" i="65"/>
  <c r="B304" i="65"/>
  <c r="C35" i="65"/>
  <c r="B279" i="65"/>
  <c r="B244" i="65"/>
  <c r="B124" i="65"/>
  <c r="C249" i="65"/>
  <c r="J93" i="65"/>
  <c r="B93" i="65"/>
  <c r="C289" i="65"/>
  <c r="C254" i="65"/>
  <c r="H93" i="65"/>
  <c r="B82" i="65"/>
  <c r="D93" i="65"/>
  <c r="F124" i="65"/>
  <c r="G93" i="65"/>
  <c r="C279" i="65"/>
  <c r="C244" i="65"/>
  <c r="B130" i="65"/>
  <c r="C124" i="65"/>
  <c r="C98" i="65"/>
  <c r="C274" i="65"/>
  <c r="E124" i="65"/>
  <c r="N93" i="65"/>
  <c r="F93" i="65"/>
  <c r="B72" i="65"/>
  <c r="C299" i="65"/>
  <c r="L93" i="65"/>
  <c r="C234" i="65"/>
  <c r="C72" i="65"/>
  <c r="E163" i="65"/>
  <c r="B50" i="65"/>
  <c r="G148" i="65"/>
  <c r="B274" i="65"/>
  <c r="B254" i="65"/>
  <c r="D254" i="65" s="1"/>
  <c r="F163" i="65"/>
  <c r="C93" i="65"/>
  <c r="D98" i="65"/>
  <c r="B143" i="65"/>
  <c r="B234" i="65"/>
  <c r="C82" i="65"/>
  <c r="C50" i="65"/>
  <c r="I93" i="65"/>
  <c r="C284" i="65"/>
  <c r="E93" i="65"/>
  <c r="B249" i="65"/>
  <c r="D163" i="65"/>
  <c r="C143" i="65"/>
  <c r="I34" i="64"/>
  <c r="B46" i="62"/>
  <c r="E64" i="62"/>
  <c r="E46" i="62"/>
  <c r="G64" i="62"/>
  <c r="B59" i="62"/>
  <c r="C69" i="62"/>
  <c r="B69" i="62"/>
  <c r="D59" i="62"/>
  <c r="B64" i="62"/>
  <c r="C54" i="62"/>
  <c r="C96" i="62"/>
  <c r="F54" i="62"/>
  <c r="F64" i="62"/>
  <c r="D64" i="62"/>
  <c r="C59" i="62"/>
  <c r="H54" i="62"/>
  <c r="H64" i="62"/>
  <c r="B54" i="62"/>
  <c r="C64" i="62"/>
  <c r="B96" i="62"/>
  <c r="D46" i="62"/>
  <c r="E59" i="62"/>
  <c r="C46" i="62"/>
  <c r="E14" i="62"/>
  <c r="D54" i="62"/>
  <c r="G54" i="62"/>
  <c r="E54" i="62"/>
  <c r="G78" i="57"/>
  <c r="B23" i="57"/>
  <c r="D67" i="57"/>
  <c r="B8" i="57"/>
  <c r="E8" i="57" s="1"/>
  <c r="D115" i="57"/>
  <c r="H83" i="57"/>
  <c r="E23" i="57"/>
  <c r="B115" i="57"/>
  <c r="C88" i="57"/>
  <c r="E72" i="57"/>
  <c r="G83" i="57"/>
  <c r="B134" i="57"/>
  <c r="C115" i="57"/>
  <c r="B31" i="57"/>
  <c r="D88" i="57"/>
  <c r="F115" i="57"/>
  <c r="G88" i="57"/>
  <c r="D83" i="57"/>
  <c r="F67" i="57"/>
  <c r="B51" i="57"/>
  <c r="D51" i="57" s="1"/>
  <c r="E115" i="57"/>
  <c r="F88" i="57"/>
  <c r="B94" i="57"/>
  <c r="F72" i="57"/>
  <c r="C67" i="57"/>
  <c r="E88" i="57"/>
  <c r="G72" i="57"/>
  <c r="C62" i="57"/>
  <c r="B62" i="57"/>
  <c r="C78" i="57"/>
  <c r="C83" i="57"/>
  <c r="E67" i="57"/>
  <c r="G23" i="57"/>
  <c r="F23" i="57"/>
  <c r="F83" i="57"/>
  <c r="E83" i="57"/>
  <c r="B78" i="57"/>
  <c r="D62" i="57"/>
  <c r="C18" i="57"/>
  <c r="F62" i="57"/>
  <c r="E78" i="57"/>
  <c r="D78" i="57"/>
  <c r="C134" i="57"/>
  <c r="E62" i="57"/>
  <c r="H23" i="57"/>
  <c r="G115" i="57"/>
  <c r="F78" i="57"/>
  <c r="C72" i="57"/>
  <c r="H67" i="57"/>
  <c r="C94" i="57"/>
  <c r="D18" i="57"/>
  <c r="G67" i="57"/>
  <c r="D72" i="57"/>
  <c r="H62" i="57"/>
  <c r="G62" i="57"/>
  <c r="I23" i="57"/>
  <c r="C8" i="57"/>
  <c r="I62" i="57"/>
  <c r="C31" i="57"/>
  <c r="C23" i="57"/>
  <c r="D288" i="55"/>
  <c r="H44" i="56"/>
  <c r="F8" i="56"/>
  <c r="E19" i="56"/>
  <c r="B46" i="54"/>
  <c r="G54" i="54"/>
  <c r="G87" i="55"/>
  <c r="G13" i="56"/>
  <c r="H54" i="54"/>
  <c r="C59" i="54"/>
  <c r="D72" i="55"/>
  <c r="D182" i="56"/>
  <c r="D54" i="54"/>
  <c r="B54" i="54"/>
  <c r="E98" i="55"/>
  <c r="E108" i="56"/>
  <c r="E91" i="54"/>
  <c r="H163" i="55"/>
  <c r="D243" i="55"/>
  <c r="E10" i="55"/>
  <c r="D59" i="56"/>
  <c r="E149" i="56"/>
  <c r="D154" i="56"/>
  <c r="E142" i="56"/>
  <c r="E137" i="56"/>
  <c r="H179" i="55"/>
  <c r="D130" i="55"/>
  <c r="D303" i="55"/>
  <c r="D298" i="55"/>
  <c r="D293" i="55"/>
  <c r="E263" i="55"/>
  <c r="D143" i="55"/>
  <c r="D273" i="55"/>
  <c r="C54" i="54"/>
  <c r="C96" i="54"/>
  <c r="D46" i="54"/>
  <c r="I8" i="54"/>
  <c r="F54" i="54"/>
  <c r="F59" i="54"/>
  <c r="E64" i="54"/>
  <c r="E54" i="54"/>
  <c r="H64" i="54"/>
  <c r="C64" i="54"/>
  <c r="D59" i="54"/>
  <c r="B59" i="54"/>
  <c r="B69" i="54"/>
  <c r="D69" i="54" s="1"/>
  <c r="B96" i="54"/>
  <c r="E46" i="54"/>
  <c r="E59" i="54"/>
  <c r="C46" i="54"/>
  <c r="E14" i="54"/>
  <c r="F64" i="54"/>
  <c r="B64" i="54"/>
  <c r="G72" i="53"/>
  <c r="D62" i="53"/>
  <c r="G23" i="53"/>
  <c r="D23" i="53"/>
  <c r="H44" i="52"/>
  <c r="B8" i="53"/>
  <c r="E8" i="53" s="1"/>
  <c r="F62" i="53"/>
  <c r="H23" i="53"/>
  <c r="C18" i="53"/>
  <c r="F40" i="51"/>
  <c r="I62" i="53"/>
  <c r="C83" i="53"/>
  <c r="E23" i="53"/>
  <c r="G99" i="53"/>
  <c r="G36" i="53"/>
  <c r="E115" i="53"/>
  <c r="F23" i="53"/>
  <c r="C51" i="53"/>
  <c r="E88" i="53"/>
  <c r="C62" i="53"/>
  <c r="H62" i="53"/>
  <c r="D13" i="53"/>
  <c r="E67" i="53"/>
  <c r="E62" i="53"/>
  <c r="C94" i="53"/>
  <c r="D78" i="53"/>
  <c r="D152" i="53"/>
  <c r="B23" i="53"/>
  <c r="H83" i="53"/>
  <c r="B115" i="53"/>
  <c r="C88" i="53"/>
  <c r="E72" i="53"/>
  <c r="G83" i="53"/>
  <c r="B134" i="53"/>
  <c r="B94" i="53"/>
  <c r="D88" i="53"/>
  <c r="C72" i="53"/>
  <c r="C8" i="53"/>
  <c r="C67" i="53"/>
  <c r="E83" i="53"/>
  <c r="G67" i="53"/>
  <c r="C115" i="53"/>
  <c r="F72" i="53"/>
  <c r="B31" i="53"/>
  <c r="B51" i="53"/>
  <c r="F115" i="53"/>
  <c r="H78" i="53"/>
  <c r="G78" i="53"/>
  <c r="F83" i="53"/>
  <c r="G62" i="53"/>
  <c r="C23" i="53"/>
  <c r="G115" i="53"/>
  <c r="I78" i="53"/>
  <c r="D67" i="53"/>
  <c r="B62" i="53"/>
  <c r="E78" i="53"/>
  <c r="C31" i="53"/>
  <c r="B78" i="53"/>
  <c r="D18" i="53"/>
  <c r="F78" i="53"/>
  <c r="D83" i="53"/>
  <c r="F67" i="53"/>
  <c r="I23" i="53"/>
  <c r="D115" i="53"/>
  <c r="D72" i="53"/>
  <c r="G88" i="53"/>
  <c r="C78" i="53"/>
  <c r="C163" i="51"/>
  <c r="E24" i="52"/>
  <c r="I93" i="51"/>
  <c r="M93" i="51"/>
  <c r="B244" i="51"/>
  <c r="D98" i="51"/>
  <c r="B50" i="51"/>
  <c r="D182" i="52"/>
  <c r="E93" i="51"/>
  <c r="L93" i="51"/>
  <c r="B72" i="51"/>
  <c r="H34" i="52"/>
  <c r="E19" i="52"/>
  <c r="G13" i="52"/>
  <c r="D59" i="52"/>
  <c r="D185" i="51"/>
  <c r="E219" i="51"/>
  <c r="G148" i="51"/>
  <c r="D82" i="52"/>
  <c r="B299" i="51"/>
  <c r="C284" i="51"/>
  <c r="B130" i="51"/>
  <c r="C254" i="51"/>
  <c r="C304" i="51"/>
  <c r="B284" i="51"/>
  <c r="C244" i="51"/>
  <c r="G124" i="51"/>
  <c r="C98" i="51"/>
  <c r="B93" i="51"/>
  <c r="D50" i="51"/>
  <c r="C294" i="51"/>
  <c r="E163" i="51"/>
  <c r="C82" i="51"/>
  <c r="D82" i="51" s="1"/>
  <c r="C289" i="51"/>
  <c r="D93" i="51"/>
  <c r="B304" i="51"/>
  <c r="C234" i="51"/>
  <c r="C124" i="51"/>
  <c r="J93" i="51"/>
  <c r="H93" i="51"/>
  <c r="B163" i="51"/>
  <c r="C279" i="51"/>
  <c r="B124" i="51"/>
  <c r="C299" i="51"/>
  <c r="C274" i="51"/>
  <c r="F163" i="51"/>
  <c r="C143" i="51"/>
  <c r="D163" i="51"/>
  <c r="C35" i="51"/>
  <c r="B249" i="51"/>
  <c r="C50" i="51"/>
  <c r="C130" i="51"/>
  <c r="B274" i="51"/>
  <c r="D274" i="51" s="1"/>
  <c r="B254" i="51"/>
  <c r="E124" i="51"/>
  <c r="C93" i="51"/>
  <c r="C249" i="51"/>
  <c r="F124" i="51"/>
  <c r="B35" i="51"/>
  <c r="N93" i="51"/>
  <c r="G163" i="51"/>
  <c r="B289" i="51"/>
  <c r="K93" i="51"/>
  <c r="B98" i="51"/>
  <c r="D124" i="51"/>
  <c r="B234" i="51"/>
  <c r="B143" i="51"/>
  <c r="G93" i="51"/>
  <c r="F93" i="51"/>
  <c r="E264" i="51"/>
  <c r="E10" i="51"/>
  <c r="H180" i="51"/>
  <c r="D51" i="49"/>
  <c r="D13" i="49"/>
  <c r="D31" i="49"/>
  <c r="E18" i="49"/>
  <c r="G36" i="49"/>
  <c r="H87" i="49"/>
  <c r="I82" i="49"/>
  <c r="D93" i="49"/>
  <c r="I67" i="49"/>
  <c r="E137" i="48"/>
  <c r="H44" i="48"/>
  <c r="E169" i="48"/>
  <c r="D169" i="48"/>
  <c r="D82" i="48"/>
  <c r="D154" i="48"/>
  <c r="E142" i="48"/>
  <c r="E108" i="48"/>
  <c r="C249" i="47"/>
  <c r="H180" i="47"/>
  <c r="C274" i="47"/>
  <c r="E10" i="47"/>
  <c r="B249" i="47"/>
  <c r="F93" i="47"/>
  <c r="D124" i="47"/>
  <c r="B289" i="47"/>
  <c r="B93" i="47"/>
  <c r="B72" i="47"/>
  <c r="D98" i="47"/>
  <c r="E163" i="47"/>
  <c r="B98" i="47"/>
  <c r="B82" i="47"/>
  <c r="D82" i="47" s="1"/>
  <c r="F40" i="47"/>
  <c r="B143" i="47"/>
  <c r="C72" i="47"/>
  <c r="C143" i="47"/>
  <c r="B284" i="47"/>
  <c r="N93" i="47"/>
  <c r="E93" i="47"/>
  <c r="B294" i="47"/>
  <c r="B274" i="47"/>
  <c r="I93" i="47"/>
  <c r="C294" i="47"/>
  <c r="B244" i="47"/>
  <c r="B124" i="47"/>
  <c r="K93" i="47"/>
  <c r="C93" i="47"/>
  <c r="C98" i="47"/>
  <c r="L93" i="47"/>
  <c r="C289" i="47"/>
  <c r="C299" i="47"/>
  <c r="C244" i="47"/>
  <c r="G93" i="47"/>
  <c r="D93" i="47"/>
  <c r="C279" i="47"/>
  <c r="B130" i="47"/>
  <c r="C124" i="47"/>
  <c r="B304" i="47"/>
  <c r="G163" i="47"/>
  <c r="D163" i="47"/>
  <c r="C163" i="47"/>
  <c r="B163" i="47"/>
  <c r="C304" i="47"/>
  <c r="C284" i="47"/>
  <c r="B299" i="47"/>
  <c r="B279" i="47"/>
  <c r="E124" i="47"/>
  <c r="J93" i="47"/>
  <c r="C254" i="47"/>
  <c r="D254" i="47" s="1"/>
  <c r="C130" i="47"/>
  <c r="F163" i="47"/>
  <c r="F124" i="47"/>
  <c r="D50" i="47"/>
  <c r="C50" i="47"/>
  <c r="B234" i="47"/>
  <c r="D234" i="47" s="1"/>
  <c r="H93" i="47"/>
  <c r="G124" i="47"/>
  <c r="M93" i="47"/>
  <c r="C35" i="47"/>
  <c r="B35" i="47"/>
  <c r="B50" i="47"/>
  <c r="D141" i="46"/>
  <c r="I64" i="46"/>
  <c r="I8" i="46"/>
  <c r="E91" i="46"/>
  <c r="G59" i="46"/>
  <c r="A160" i="20"/>
  <c r="A157" i="20"/>
  <c r="D94" i="53" l="1"/>
  <c r="D154" i="52"/>
  <c r="E108" i="52"/>
  <c r="E137" i="52"/>
  <c r="D249" i="47"/>
  <c r="I54" i="46"/>
  <c r="D143" i="47"/>
  <c r="D294" i="51"/>
  <c r="D289" i="47"/>
  <c r="D96" i="64"/>
  <c r="F46" i="64"/>
  <c r="D299" i="65"/>
  <c r="E108" i="66"/>
  <c r="D154" i="66"/>
  <c r="E149" i="52"/>
  <c r="D134" i="53"/>
  <c r="D72" i="51"/>
  <c r="H163" i="47"/>
  <c r="D35" i="47"/>
  <c r="D143" i="51"/>
  <c r="D279" i="51"/>
  <c r="E142" i="52"/>
  <c r="E50" i="51"/>
  <c r="E18" i="53"/>
  <c r="D96" i="62"/>
  <c r="D284" i="51"/>
  <c r="D289" i="65"/>
  <c r="E142" i="66"/>
  <c r="G59" i="64"/>
  <c r="D130" i="65"/>
  <c r="I54" i="64"/>
  <c r="I64" i="64"/>
  <c r="D304" i="65"/>
  <c r="E149" i="66"/>
  <c r="D51" i="67"/>
  <c r="E137" i="66"/>
  <c r="D284" i="65"/>
  <c r="D35" i="65"/>
  <c r="D134" i="67"/>
  <c r="I83" i="67"/>
  <c r="D294" i="65"/>
  <c r="E18" i="67"/>
  <c r="H72" i="67"/>
  <c r="D94" i="67"/>
  <c r="H88" i="67"/>
  <c r="D31" i="67"/>
  <c r="I67" i="67"/>
  <c r="D82" i="65"/>
  <c r="D244" i="65"/>
  <c r="D249" i="65"/>
  <c r="E98" i="65"/>
  <c r="D279" i="65"/>
  <c r="H163" i="65"/>
  <c r="D72" i="65"/>
  <c r="E50" i="65"/>
  <c r="D143" i="65"/>
  <c r="D234" i="65"/>
  <c r="D274" i="65"/>
  <c r="F46" i="62"/>
  <c r="I54" i="62"/>
  <c r="I64" i="62"/>
  <c r="D69" i="62"/>
  <c r="G59" i="62"/>
  <c r="I67" i="57"/>
  <c r="H72" i="57"/>
  <c r="E18" i="57"/>
  <c r="I83" i="57"/>
  <c r="D94" i="57"/>
  <c r="H88" i="57"/>
  <c r="D31" i="57"/>
  <c r="D134" i="57"/>
  <c r="F46" i="54"/>
  <c r="D96" i="54"/>
  <c r="I64" i="54"/>
  <c r="I54" i="54"/>
  <c r="G59" i="54"/>
  <c r="D244" i="51"/>
  <c r="I83" i="53"/>
  <c r="H88" i="53"/>
  <c r="D51" i="53"/>
  <c r="I67" i="53"/>
  <c r="H72" i="53"/>
  <c r="D31" i="53"/>
  <c r="E98" i="51"/>
  <c r="H163" i="51"/>
  <c r="D289" i="51"/>
  <c r="D249" i="51"/>
  <c r="D254" i="51"/>
  <c r="D130" i="51"/>
  <c r="D304" i="51"/>
  <c r="D299" i="51"/>
  <c r="D234" i="51"/>
  <c r="D35" i="51"/>
  <c r="D299" i="47"/>
  <c r="D274" i="47"/>
  <c r="E98" i="47"/>
  <c r="D294" i="47"/>
  <c r="E50" i="47"/>
  <c r="D244" i="47"/>
  <c r="D72" i="47"/>
  <c r="D284" i="47"/>
  <c r="D130" i="47"/>
  <c r="D279" i="47"/>
  <c r="D304" i="47"/>
  <c r="H44" i="22"/>
  <c r="H33" i="18"/>
  <c r="G33" i="18"/>
  <c r="F33" i="18"/>
  <c r="E33" i="18"/>
  <c r="D33" i="18"/>
  <c r="I33" i="18" l="1"/>
  <c r="K136" i="18" l="1"/>
  <c r="L136" i="18"/>
  <c r="J136" i="18"/>
  <c r="C73" i="18"/>
  <c r="F53" i="18"/>
  <c r="L24" i="22" l="1"/>
  <c r="L25" i="22" s="1"/>
  <c r="K24" i="22"/>
  <c r="K25" i="22" s="1"/>
  <c r="J24" i="22"/>
  <c r="J25" i="22" s="1"/>
  <c r="I24" i="22"/>
  <c r="I25" i="22" s="1"/>
  <c r="H24" i="22"/>
  <c r="H25" i="22" s="1"/>
  <c r="G24" i="22"/>
  <c r="G25" i="22" s="1"/>
  <c r="F24" i="22"/>
  <c r="F25" i="22" s="1"/>
  <c r="E24" i="22"/>
  <c r="E25" i="22" s="1"/>
  <c r="D24" i="22"/>
  <c r="D25" i="22" s="1"/>
  <c r="C24" i="22"/>
  <c r="C25" i="22" s="1"/>
  <c r="F81" i="21"/>
  <c r="K86" i="20" l="1"/>
  <c r="J86" i="20"/>
  <c r="I86" i="20"/>
  <c r="H86" i="20"/>
  <c r="G86" i="20"/>
  <c r="F86" i="20"/>
  <c r="E86" i="20"/>
  <c r="D86" i="20"/>
  <c r="C86" i="20"/>
  <c r="G23" i="23"/>
  <c r="F23" i="23"/>
  <c r="D23" i="23"/>
  <c r="E23" i="23"/>
  <c r="B206" i="23"/>
  <c r="C206" i="23"/>
  <c r="D206" i="23"/>
  <c r="E206" i="23"/>
  <c r="F206" i="23"/>
  <c r="G206" i="23"/>
  <c r="H206" i="23"/>
  <c r="I206" i="23"/>
  <c r="J206" i="23"/>
  <c r="K206" i="23"/>
  <c r="L206" i="23"/>
  <c r="M206" i="23"/>
  <c r="A206" i="23"/>
  <c r="E200" i="23"/>
  <c r="F200" i="23"/>
  <c r="G200" i="23"/>
  <c r="H200" i="23"/>
  <c r="D200" i="23"/>
  <c r="D195" i="23"/>
  <c r="C195" i="23"/>
  <c r="D190" i="23"/>
  <c r="E190" i="23"/>
  <c r="F190" i="23"/>
  <c r="G190" i="23"/>
  <c r="H190" i="23"/>
  <c r="I190" i="23"/>
  <c r="J190" i="23"/>
  <c r="K190" i="23"/>
  <c r="L190" i="23"/>
  <c r="M190" i="23"/>
  <c r="N190" i="23"/>
  <c r="O190" i="23"/>
  <c r="C190" i="23"/>
  <c r="D185" i="23"/>
  <c r="E185" i="23"/>
  <c r="F185" i="23"/>
  <c r="G185" i="23"/>
  <c r="H185" i="23"/>
  <c r="I185" i="23"/>
  <c r="C185" i="23"/>
  <c r="D180" i="23"/>
  <c r="C180" i="23"/>
  <c r="B180" i="23"/>
  <c r="J176" i="23"/>
  <c r="K176" i="23"/>
  <c r="L176" i="23"/>
  <c r="B176" i="23"/>
  <c r="C176" i="23"/>
  <c r="D176" i="23"/>
  <c r="E176" i="23"/>
  <c r="F176" i="23"/>
  <c r="G176" i="23"/>
  <c r="H176" i="23"/>
  <c r="I176" i="23"/>
  <c r="A176" i="23"/>
  <c r="G172" i="23"/>
  <c r="B172" i="23"/>
  <c r="C172" i="23"/>
  <c r="D172" i="23"/>
  <c r="E172" i="23"/>
  <c r="F172" i="23"/>
  <c r="H172" i="23"/>
  <c r="I172" i="23"/>
  <c r="J172" i="23"/>
  <c r="K172" i="23"/>
  <c r="L172" i="23"/>
  <c r="A172" i="23"/>
  <c r="C167" i="23"/>
  <c r="D167" i="23"/>
  <c r="E167" i="23"/>
  <c r="F167" i="23"/>
  <c r="B167" i="23"/>
  <c r="D162" i="23"/>
  <c r="C162" i="23"/>
  <c r="B162" i="23"/>
  <c r="C157" i="23"/>
  <c r="D157" i="23"/>
  <c r="E157" i="23"/>
  <c r="F157" i="23"/>
  <c r="G157" i="23"/>
  <c r="H157" i="23"/>
  <c r="I157" i="23"/>
  <c r="B157" i="23"/>
  <c r="D152" i="23"/>
  <c r="E152" i="23"/>
  <c r="F152" i="23"/>
  <c r="G152" i="23"/>
  <c r="H152" i="23"/>
  <c r="C152" i="23"/>
  <c r="D147" i="23"/>
  <c r="E147" i="23"/>
  <c r="F147" i="23"/>
  <c r="G147" i="23"/>
  <c r="H147" i="23"/>
  <c r="C147" i="23"/>
  <c r="F142" i="23"/>
  <c r="E142" i="23"/>
  <c r="D142" i="23"/>
  <c r="C142" i="23"/>
  <c r="E137" i="23"/>
  <c r="F129" i="23"/>
  <c r="E129" i="23"/>
  <c r="D129" i="23"/>
  <c r="C129" i="23"/>
  <c r="D137" i="23"/>
  <c r="C137" i="23"/>
  <c r="B133" i="23"/>
  <c r="D124" i="23"/>
  <c r="C124" i="23"/>
  <c r="B124" i="23"/>
  <c r="D119" i="23"/>
  <c r="C119" i="23"/>
  <c r="B119" i="23"/>
  <c r="F78" i="23"/>
  <c r="E78" i="23"/>
  <c r="L78" i="23"/>
  <c r="K78" i="23"/>
  <c r="I78" i="23"/>
  <c r="J78" i="23"/>
  <c r="H78" i="23"/>
  <c r="G78" i="23"/>
  <c r="C78" i="23"/>
  <c r="D78" i="23"/>
  <c r="B78" i="23"/>
  <c r="D103" i="23"/>
  <c r="E103" i="23"/>
  <c r="F103" i="23"/>
  <c r="G103" i="23"/>
  <c r="H103" i="23"/>
  <c r="I103" i="23"/>
  <c r="C103" i="23"/>
  <c r="D98" i="23"/>
  <c r="E98" i="23"/>
  <c r="F98" i="23"/>
  <c r="G98" i="23"/>
  <c r="H98" i="23"/>
  <c r="I98" i="23"/>
  <c r="J98" i="23"/>
  <c r="C98" i="23"/>
  <c r="E93" i="23"/>
  <c r="F93" i="23"/>
  <c r="D93" i="23"/>
  <c r="C93" i="23"/>
  <c r="C108" i="18"/>
  <c r="D88" i="23"/>
  <c r="C88" i="23"/>
  <c r="B88" i="23"/>
  <c r="H108" i="23"/>
  <c r="G108" i="23"/>
  <c r="F108" i="23"/>
  <c r="E108" i="23"/>
  <c r="D108" i="23"/>
  <c r="C108" i="23"/>
  <c r="B108" i="23"/>
  <c r="H113" i="23"/>
  <c r="B113" i="23"/>
  <c r="G113" i="23"/>
  <c r="F113" i="23"/>
  <c r="E113" i="23"/>
  <c r="D113" i="23"/>
  <c r="A84" i="23"/>
  <c r="D73" i="23"/>
  <c r="C73" i="23"/>
  <c r="B73" i="23"/>
  <c r="G68" i="23"/>
  <c r="F68" i="23"/>
  <c r="E68" i="23"/>
  <c r="D68" i="23"/>
  <c r="C68" i="23"/>
  <c r="D63" i="23"/>
  <c r="C63" i="23"/>
  <c r="B63" i="23"/>
  <c r="C58" i="23"/>
  <c r="D58" i="23"/>
  <c r="B58" i="23"/>
  <c r="B54" i="23"/>
  <c r="B52" i="23"/>
  <c r="C43" i="23"/>
  <c r="B43" i="23"/>
  <c r="D48" i="23"/>
  <c r="C48" i="23"/>
  <c r="B48" i="23"/>
  <c r="E33" i="23"/>
  <c r="F33" i="23"/>
  <c r="G33" i="23"/>
  <c r="H33" i="23"/>
  <c r="I33" i="23"/>
  <c r="J33" i="23"/>
  <c r="D33" i="23"/>
  <c r="E13" i="23"/>
  <c r="D13" i="23"/>
  <c r="C13" i="23"/>
  <c r="B13" i="23"/>
  <c r="D38" i="23"/>
  <c r="H28" i="23"/>
  <c r="G28" i="23"/>
  <c r="F28" i="23"/>
  <c r="E28" i="23"/>
  <c r="D28" i="23"/>
  <c r="D18" i="23"/>
  <c r="C18" i="23"/>
  <c r="B18" i="23"/>
  <c r="F7" i="23"/>
  <c r="E7" i="23"/>
  <c r="D7" i="23"/>
  <c r="C7" i="23"/>
  <c r="B7" i="23"/>
  <c r="E48" i="23" l="1"/>
  <c r="E119" i="23"/>
  <c r="H201" i="23"/>
  <c r="G201" i="23"/>
  <c r="E63" i="23"/>
  <c r="E73" i="23"/>
  <c r="G129" i="23"/>
  <c r="D94" i="23"/>
  <c r="F94" i="23"/>
  <c r="F137" i="23"/>
  <c r="D201" i="23"/>
  <c r="D43" i="23"/>
  <c r="E88" i="23"/>
  <c r="C94" i="23"/>
  <c r="G93" i="23"/>
  <c r="F201" i="23"/>
  <c r="H23" i="23"/>
  <c r="E124" i="23"/>
  <c r="E201" i="23"/>
  <c r="F13" i="23"/>
  <c r="I108" i="23"/>
  <c r="E94" i="23"/>
  <c r="E195" i="23"/>
  <c r="I28" i="23"/>
  <c r="E58" i="23"/>
  <c r="G142" i="23"/>
  <c r="J157" i="23"/>
  <c r="E162" i="23"/>
  <c r="E180" i="23"/>
  <c r="L86" i="20"/>
  <c r="I113" i="23"/>
  <c r="C153" i="23"/>
  <c r="F153" i="23"/>
  <c r="G24" i="23"/>
  <c r="H153" i="23"/>
  <c r="C148" i="23"/>
  <c r="G153" i="23"/>
  <c r="G148" i="23"/>
  <c r="E153" i="23"/>
  <c r="F148" i="23"/>
  <c r="D153" i="23"/>
  <c r="E148" i="23"/>
  <c r="H148" i="23"/>
  <c r="D148" i="23"/>
  <c r="D138" i="23"/>
  <c r="E138" i="23"/>
  <c r="D130" i="23"/>
  <c r="C130" i="23"/>
  <c r="G130" i="23" s="1"/>
  <c r="E130" i="23"/>
  <c r="F130" i="23"/>
  <c r="F99" i="23"/>
  <c r="C99" i="23"/>
  <c r="I99" i="23"/>
  <c r="H104" i="23"/>
  <c r="H99" i="23"/>
  <c r="G104" i="23"/>
  <c r="C104" i="23"/>
  <c r="D104" i="23"/>
  <c r="G99" i="23"/>
  <c r="F104" i="23"/>
  <c r="E99" i="23"/>
  <c r="D99" i="23"/>
  <c r="J99" i="23"/>
  <c r="I104" i="23"/>
  <c r="E104" i="23"/>
  <c r="F69" i="23"/>
  <c r="E69" i="23"/>
  <c r="D69" i="23"/>
  <c r="G69" i="23"/>
  <c r="C69" i="23"/>
  <c r="E34" i="23"/>
  <c r="I34" i="23"/>
  <c r="D39" i="23"/>
  <c r="I39" i="23" s="1"/>
  <c r="H34" i="23"/>
  <c r="F34" i="23"/>
  <c r="D34" i="23"/>
  <c r="J34" i="23"/>
  <c r="G34" i="23"/>
  <c r="G7" i="23"/>
  <c r="G94" i="23" l="1"/>
  <c r="B3" i="23"/>
  <c r="H38" i="23"/>
  <c r="H39" i="23" s="1"/>
  <c r="G38" i="23"/>
  <c r="G39" i="23" s="1"/>
  <c r="F38" i="23"/>
  <c r="F39" i="23" s="1"/>
  <c r="E38" i="23"/>
  <c r="D29" i="23"/>
  <c r="I29" i="23" s="1"/>
  <c r="H29" i="23"/>
  <c r="E39" i="23" l="1"/>
  <c r="I38" i="23"/>
  <c r="B168" i="23"/>
  <c r="C181" i="23"/>
  <c r="D181" i="23"/>
  <c r="F168" i="23"/>
  <c r="E168" i="23"/>
  <c r="D168" i="23"/>
  <c r="C168" i="23"/>
  <c r="C79" i="23"/>
  <c r="B79" i="23"/>
  <c r="L79" i="23"/>
  <c r="D79" i="23"/>
  <c r="E79" i="23"/>
  <c r="F79" i="23"/>
  <c r="G79" i="23"/>
  <c r="I79" i="23"/>
  <c r="H79" i="23"/>
  <c r="K79" i="23"/>
  <c r="J79" i="23"/>
  <c r="D89" i="23"/>
  <c r="C89" i="23"/>
  <c r="B89" i="23"/>
  <c r="B74" i="23"/>
  <c r="C74" i="23"/>
  <c r="D74" i="23"/>
  <c r="B64" i="23"/>
  <c r="C64" i="23"/>
  <c r="D64" i="23"/>
  <c r="D59" i="23"/>
  <c r="B59" i="23"/>
  <c r="C59" i="23"/>
  <c r="B44" i="23"/>
  <c r="C44" i="23"/>
  <c r="C49" i="23"/>
  <c r="B49" i="23"/>
  <c r="D49" i="23"/>
  <c r="B8" i="23"/>
  <c r="D14" i="23"/>
  <c r="E14" i="23"/>
  <c r="B14" i="23"/>
  <c r="C14" i="23"/>
  <c r="B163" i="23"/>
  <c r="E163" i="23" s="1"/>
  <c r="D143" i="23"/>
  <c r="F191" i="23"/>
  <c r="N191" i="23"/>
  <c r="F143" i="23"/>
  <c r="C8" i="23"/>
  <c r="F24" i="23"/>
  <c r="H158" i="23"/>
  <c r="F186" i="23"/>
  <c r="G191" i="23"/>
  <c r="O191" i="23"/>
  <c r="F29" i="23"/>
  <c r="I158" i="23"/>
  <c r="L191" i="23"/>
  <c r="B158" i="23"/>
  <c r="J158" i="23" s="1"/>
  <c r="G186" i="23"/>
  <c r="E29" i="23"/>
  <c r="C158" i="23"/>
  <c r="C163" i="23"/>
  <c r="H186" i="23"/>
  <c r="D158" i="23"/>
  <c r="D163" i="23"/>
  <c r="I186" i="23"/>
  <c r="J191" i="23"/>
  <c r="C196" i="23"/>
  <c r="E196" i="23" s="1"/>
  <c r="G29" i="23"/>
  <c r="E143" i="23"/>
  <c r="E158" i="23"/>
  <c r="C191" i="23"/>
  <c r="K191" i="23"/>
  <c r="D196" i="23"/>
  <c r="D24" i="23"/>
  <c r="H24" i="23" s="1"/>
  <c r="F158" i="23"/>
  <c r="C186" i="23"/>
  <c r="E24" i="23"/>
  <c r="C143" i="23"/>
  <c r="G143" i="23" s="1"/>
  <c r="G158" i="23"/>
  <c r="D186" i="23"/>
  <c r="E191" i="23"/>
  <c r="M191" i="23"/>
  <c r="C120" i="23"/>
  <c r="D120" i="23"/>
  <c r="E8" i="23"/>
  <c r="F8" i="23"/>
  <c r="D8" i="23"/>
  <c r="B120" i="23"/>
  <c r="B181" i="23"/>
  <c r="H191" i="23"/>
  <c r="E186" i="23"/>
  <c r="I191" i="23"/>
  <c r="E18" i="23"/>
  <c r="C138" i="23"/>
  <c r="F138" i="23" s="1"/>
  <c r="D191" i="23"/>
  <c r="A49" i="18"/>
  <c r="B7" i="18"/>
  <c r="I155" i="21"/>
  <c r="H155" i="21"/>
  <c r="G155" i="21"/>
  <c r="F155" i="21"/>
  <c r="E155" i="21"/>
  <c r="D155" i="21"/>
  <c r="C155" i="21"/>
  <c r="B155" i="21"/>
  <c r="A155" i="21"/>
  <c r="C150" i="21"/>
  <c r="B150" i="21"/>
  <c r="L146" i="21"/>
  <c r="K146" i="21"/>
  <c r="J146" i="21"/>
  <c r="I146" i="21"/>
  <c r="H146" i="21"/>
  <c r="G146" i="21"/>
  <c r="F146" i="21"/>
  <c r="E146" i="21"/>
  <c r="D146" i="21"/>
  <c r="C146" i="21"/>
  <c r="B146" i="21"/>
  <c r="A146" i="21"/>
  <c r="P142" i="21"/>
  <c r="O142" i="21"/>
  <c r="N142" i="21"/>
  <c r="M142" i="21"/>
  <c r="L142" i="21"/>
  <c r="K142" i="21"/>
  <c r="J142" i="21"/>
  <c r="I142" i="21"/>
  <c r="H142" i="21"/>
  <c r="G142" i="21"/>
  <c r="F142" i="21"/>
  <c r="E142" i="21"/>
  <c r="D142" i="21"/>
  <c r="C142" i="21"/>
  <c r="B142" i="21"/>
  <c r="A142" i="21"/>
  <c r="F137" i="21"/>
  <c r="E137" i="21"/>
  <c r="D137" i="21"/>
  <c r="C137" i="21"/>
  <c r="B137" i="21"/>
  <c r="C132" i="21"/>
  <c r="B132" i="21"/>
  <c r="H127" i="21"/>
  <c r="G127" i="21"/>
  <c r="F127" i="21"/>
  <c r="E127" i="21"/>
  <c r="D127" i="21"/>
  <c r="C127" i="21"/>
  <c r="B127" i="21"/>
  <c r="B121" i="21"/>
  <c r="B118" i="21"/>
  <c r="G113" i="21"/>
  <c r="F113" i="21"/>
  <c r="E113" i="21"/>
  <c r="D113" i="21"/>
  <c r="C113" i="21"/>
  <c r="B113" i="21"/>
  <c r="I107" i="21"/>
  <c r="H107" i="21"/>
  <c r="G107" i="21"/>
  <c r="F107" i="21"/>
  <c r="E107" i="21"/>
  <c r="D107" i="21"/>
  <c r="C107" i="21"/>
  <c r="I102" i="21"/>
  <c r="H102" i="21"/>
  <c r="G102" i="21"/>
  <c r="F102" i="21"/>
  <c r="E102" i="21"/>
  <c r="D102" i="21"/>
  <c r="C102" i="21"/>
  <c r="F97" i="21"/>
  <c r="E97" i="21"/>
  <c r="D97" i="21"/>
  <c r="C97" i="21"/>
  <c r="C92" i="21"/>
  <c r="B92" i="21"/>
  <c r="G86" i="21"/>
  <c r="F86" i="21"/>
  <c r="E86" i="21"/>
  <c r="D86" i="21"/>
  <c r="C86" i="21"/>
  <c r="H81" i="21"/>
  <c r="G81" i="21"/>
  <c r="E81" i="21"/>
  <c r="D81" i="21"/>
  <c r="C81" i="21"/>
  <c r="I76" i="21"/>
  <c r="H76" i="21"/>
  <c r="G76" i="21"/>
  <c r="F76" i="21"/>
  <c r="E76" i="21"/>
  <c r="D76" i="21"/>
  <c r="C76" i="21"/>
  <c r="B76" i="21"/>
  <c r="G71" i="21"/>
  <c r="F71" i="21"/>
  <c r="E71" i="21"/>
  <c r="D71" i="21"/>
  <c r="C71" i="21"/>
  <c r="H66" i="21"/>
  <c r="G66" i="21"/>
  <c r="F66" i="21"/>
  <c r="E66" i="21"/>
  <c r="D66" i="21"/>
  <c r="C66" i="21"/>
  <c r="I61" i="21"/>
  <c r="H61" i="21"/>
  <c r="G61" i="21"/>
  <c r="F61" i="21"/>
  <c r="E61" i="21"/>
  <c r="D61" i="21"/>
  <c r="C61" i="21"/>
  <c r="B61" i="21"/>
  <c r="L55" i="21"/>
  <c r="K55" i="21"/>
  <c r="J55" i="21"/>
  <c r="I55" i="21"/>
  <c r="H55" i="21"/>
  <c r="G55" i="21"/>
  <c r="F55" i="21"/>
  <c r="E55" i="21"/>
  <c r="D55" i="21"/>
  <c r="C55" i="21"/>
  <c r="B55" i="21"/>
  <c r="C50" i="21"/>
  <c r="B50" i="21"/>
  <c r="K45" i="21"/>
  <c r="J45" i="21"/>
  <c r="I45" i="21"/>
  <c r="H45" i="21"/>
  <c r="G45" i="21"/>
  <c r="F45" i="21"/>
  <c r="E45" i="21"/>
  <c r="D45" i="21"/>
  <c r="C45" i="21"/>
  <c r="M40" i="21"/>
  <c r="L40" i="21"/>
  <c r="K40" i="21"/>
  <c r="J40" i="21"/>
  <c r="I40" i="21"/>
  <c r="H40" i="21"/>
  <c r="G40" i="21"/>
  <c r="F40" i="21"/>
  <c r="E40" i="21"/>
  <c r="D40" i="21"/>
  <c r="C40" i="21"/>
  <c r="F35" i="21"/>
  <c r="E35" i="21"/>
  <c r="D35" i="21"/>
  <c r="C35" i="21"/>
  <c r="C30" i="21"/>
  <c r="B30" i="21"/>
  <c r="A26" i="21"/>
  <c r="I22" i="21"/>
  <c r="H22" i="21"/>
  <c r="G22" i="21"/>
  <c r="F22" i="21"/>
  <c r="E22" i="21"/>
  <c r="D22" i="21"/>
  <c r="C22" i="21"/>
  <c r="B22" i="21"/>
  <c r="D17" i="21"/>
  <c r="C17" i="21"/>
  <c r="C12" i="21"/>
  <c r="B12" i="21"/>
  <c r="D8" i="21"/>
  <c r="D7" i="21"/>
  <c r="C7" i="21"/>
  <c r="B7" i="21"/>
  <c r="B3" i="21"/>
  <c r="B56" i="21" s="1"/>
  <c r="C303" i="22"/>
  <c r="B303" i="22"/>
  <c r="C298" i="22"/>
  <c r="B298" i="22"/>
  <c r="C293" i="22"/>
  <c r="B293" i="22"/>
  <c r="C288" i="22"/>
  <c r="B288" i="22"/>
  <c r="C283" i="22"/>
  <c r="B283" i="22"/>
  <c r="C278" i="22"/>
  <c r="B278" i="22"/>
  <c r="C273" i="22"/>
  <c r="B273" i="22"/>
  <c r="H268" i="22"/>
  <c r="G268" i="22"/>
  <c r="F268" i="22"/>
  <c r="E268" i="22"/>
  <c r="D268" i="22"/>
  <c r="D263" i="22"/>
  <c r="C263" i="22"/>
  <c r="J258" i="22"/>
  <c r="I258" i="22"/>
  <c r="H258" i="22"/>
  <c r="G258" i="22"/>
  <c r="F258" i="22"/>
  <c r="E258" i="22"/>
  <c r="D258" i="22"/>
  <c r="C258" i="22"/>
  <c r="C253" i="22"/>
  <c r="B253" i="22"/>
  <c r="C248" i="22"/>
  <c r="B248" i="22"/>
  <c r="C243" i="22"/>
  <c r="B243" i="22"/>
  <c r="J238" i="22"/>
  <c r="I238" i="22"/>
  <c r="H238" i="22"/>
  <c r="G238" i="22"/>
  <c r="F238" i="22"/>
  <c r="E238" i="22"/>
  <c r="D238" i="22"/>
  <c r="C238" i="22"/>
  <c r="C233" i="22"/>
  <c r="B233" i="22"/>
  <c r="M228" i="22"/>
  <c r="L228" i="22"/>
  <c r="K228" i="22"/>
  <c r="J228" i="22"/>
  <c r="I228" i="22"/>
  <c r="H228" i="22"/>
  <c r="G228" i="22"/>
  <c r="F228" i="22"/>
  <c r="E228" i="22"/>
  <c r="D228" i="22"/>
  <c r="C228" i="22"/>
  <c r="B228" i="22"/>
  <c r="A228" i="22"/>
  <c r="H223" i="22"/>
  <c r="G223" i="22"/>
  <c r="F223" i="22"/>
  <c r="E223" i="22"/>
  <c r="D223" i="22"/>
  <c r="D218" i="22"/>
  <c r="C218" i="22"/>
  <c r="O213" i="22"/>
  <c r="N213" i="22"/>
  <c r="M213" i="22"/>
  <c r="L213" i="22"/>
  <c r="K213" i="22"/>
  <c r="J213" i="22"/>
  <c r="I213" i="22"/>
  <c r="H213" i="22"/>
  <c r="G213" i="22"/>
  <c r="F213" i="22"/>
  <c r="E213" i="22"/>
  <c r="D213" i="22"/>
  <c r="C213" i="22"/>
  <c r="I207" i="22"/>
  <c r="H207" i="22"/>
  <c r="G207" i="22"/>
  <c r="F207" i="22"/>
  <c r="E207" i="22"/>
  <c r="D207" i="22"/>
  <c r="C207" i="22"/>
  <c r="C202" i="22"/>
  <c r="B202" i="22"/>
  <c r="L198" i="22"/>
  <c r="K198" i="22"/>
  <c r="J198" i="22"/>
  <c r="I198" i="22"/>
  <c r="H198" i="22"/>
  <c r="G198" i="22"/>
  <c r="F198" i="22"/>
  <c r="E198" i="22"/>
  <c r="D198" i="22"/>
  <c r="C198" i="22"/>
  <c r="B198" i="22"/>
  <c r="A198" i="22"/>
  <c r="P194" i="22"/>
  <c r="O194" i="22"/>
  <c r="N194" i="22"/>
  <c r="M194" i="22"/>
  <c r="L194" i="22"/>
  <c r="K194" i="22"/>
  <c r="J194" i="22"/>
  <c r="I194" i="22"/>
  <c r="H194" i="22"/>
  <c r="G194" i="22"/>
  <c r="F194" i="22"/>
  <c r="E194" i="22"/>
  <c r="D194" i="22"/>
  <c r="C194" i="22"/>
  <c r="B194" i="22"/>
  <c r="A194" i="22"/>
  <c r="F189" i="22"/>
  <c r="E189" i="22"/>
  <c r="D189" i="22"/>
  <c r="C189" i="22"/>
  <c r="B189" i="22"/>
  <c r="C184" i="22"/>
  <c r="B184" i="22"/>
  <c r="G179" i="22"/>
  <c r="F179" i="22"/>
  <c r="E179" i="22"/>
  <c r="D179" i="22"/>
  <c r="C179" i="22"/>
  <c r="B179" i="22"/>
  <c r="E173" i="22"/>
  <c r="E172" i="22"/>
  <c r="E171" i="22"/>
  <c r="E170" i="22"/>
  <c r="E169" i="22"/>
  <c r="E168" i="22"/>
  <c r="E167" i="22"/>
  <c r="E166" i="22"/>
  <c r="G162" i="22"/>
  <c r="F162" i="22"/>
  <c r="E162" i="22"/>
  <c r="D162" i="22"/>
  <c r="C162" i="22"/>
  <c r="B162" i="22"/>
  <c r="M157" i="22"/>
  <c r="L157" i="22"/>
  <c r="K157" i="22"/>
  <c r="J157" i="22"/>
  <c r="I157" i="22"/>
  <c r="H157" i="22"/>
  <c r="G157" i="22"/>
  <c r="F157" i="22"/>
  <c r="E157" i="22"/>
  <c r="D157" i="22"/>
  <c r="J152" i="22"/>
  <c r="I152" i="22"/>
  <c r="H152" i="22"/>
  <c r="G152" i="22"/>
  <c r="F152" i="22"/>
  <c r="E152" i="22"/>
  <c r="D152" i="22"/>
  <c r="F147" i="22"/>
  <c r="E147" i="22"/>
  <c r="D147" i="22"/>
  <c r="C147" i="22"/>
  <c r="C142" i="22"/>
  <c r="B142" i="22"/>
  <c r="E138" i="22"/>
  <c r="F134" i="22"/>
  <c r="E134" i="22"/>
  <c r="D134" i="22"/>
  <c r="C134" i="22"/>
  <c r="B134" i="22"/>
  <c r="C129" i="22"/>
  <c r="B129" i="22"/>
  <c r="G123" i="22"/>
  <c r="F123" i="22"/>
  <c r="E123" i="22"/>
  <c r="D123" i="22"/>
  <c r="C123" i="22"/>
  <c r="B123" i="22"/>
  <c r="K118" i="22"/>
  <c r="J118" i="22"/>
  <c r="I118" i="22"/>
  <c r="H118" i="22"/>
  <c r="G118" i="22"/>
  <c r="F118" i="22"/>
  <c r="E118" i="22"/>
  <c r="D118" i="22"/>
  <c r="K113" i="22"/>
  <c r="J113" i="22"/>
  <c r="I113" i="22"/>
  <c r="H113" i="22"/>
  <c r="G113" i="22"/>
  <c r="F113" i="22"/>
  <c r="E113" i="22"/>
  <c r="D113" i="22"/>
  <c r="G108" i="22"/>
  <c r="F108" i="22"/>
  <c r="E108" i="22"/>
  <c r="D108" i="22"/>
  <c r="D103" i="22"/>
  <c r="C103" i="22"/>
  <c r="D97" i="22"/>
  <c r="C97" i="22"/>
  <c r="B97" i="22"/>
  <c r="N92" i="22"/>
  <c r="M92" i="22"/>
  <c r="L92" i="22"/>
  <c r="K92" i="22"/>
  <c r="J92" i="22"/>
  <c r="I92" i="22"/>
  <c r="H92" i="22"/>
  <c r="G92" i="22"/>
  <c r="F92" i="22"/>
  <c r="E92" i="22"/>
  <c r="D92" i="22"/>
  <c r="C92" i="22"/>
  <c r="B92" i="22"/>
  <c r="F86" i="22"/>
  <c r="E86" i="22"/>
  <c r="D86" i="22"/>
  <c r="C86" i="22"/>
  <c r="C81" i="22"/>
  <c r="B81" i="22"/>
  <c r="G76" i="22"/>
  <c r="F76" i="22"/>
  <c r="E76" i="22"/>
  <c r="D76" i="22"/>
  <c r="C76" i="22"/>
  <c r="C71" i="22"/>
  <c r="B71" i="22"/>
  <c r="D66" i="22"/>
  <c r="C66" i="22"/>
  <c r="E62" i="22"/>
  <c r="E60" i="22"/>
  <c r="D57" i="22"/>
  <c r="C57" i="22"/>
  <c r="B53" i="22"/>
  <c r="D49" i="22"/>
  <c r="C49" i="22"/>
  <c r="B49" i="22"/>
  <c r="J44" i="22"/>
  <c r="I44" i="22"/>
  <c r="G44" i="22"/>
  <c r="F44" i="22"/>
  <c r="E44" i="22"/>
  <c r="D44" i="22"/>
  <c r="C44" i="22"/>
  <c r="B44" i="22"/>
  <c r="E39" i="22"/>
  <c r="D39" i="22"/>
  <c r="C39" i="22"/>
  <c r="C34" i="22"/>
  <c r="B34" i="22"/>
  <c r="G29" i="22"/>
  <c r="F29" i="22"/>
  <c r="E29" i="22"/>
  <c r="D29" i="22"/>
  <c r="C29" i="22"/>
  <c r="G19" i="22"/>
  <c r="G20" i="22" s="1"/>
  <c r="F19" i="22"/>
  <c r="F20" i="22" s="1"/>
  <c r="E19" i="22"/>
  <c r="E20" i="22" s="1"/>
  <c r="D19" i="22"/>
  <c r="D20" i="22" s="1"/>
  <c r="C19" i="22"/>
  <c r="M14" i="22"/>
  <c r="L14" i="22"/>
  <c r="K14" i="22"/>
  <c r="J14" i="22"/>
  <c r="I14" i="22"/>
  <c r="H14" i="22"/>
  <c r="G14" i="22"/>
  <c r="F14" i="22"/>
  <c r="E14" i="22"/>
  <c r="D14" i="22"/>
  <c r="C14" i="22"/>
  <c r="D9" i="22"/>
  <c r="C9" i="22"/>
  <c r="B9" i="22"/>
  <c r="H45" i="22" s="1"/>
  <c r="C4" i="22"/>
  <c r="C3" i="22"/>
  <c r="L207" i="20"/>
  <c r="K207" i="20"/>
  <c r="J207" i="20"/>
  <c r="I207" i="20"/>
  <c r="H207" i="20"/>
  <c r="G207" i="20"/>
  <c r="F207" i="20"/>
  <c r="E207" i="20"/>
  <c r="D207" i="20"/>
  <c r="C207" i="20"/>
  <c r="B207" i="20"/>
  <c r="A207" i="20"/>
  <c r="H201" i="20"/>
  <c r="G201" i="20"/>
  <c r="F201" i="20"/>
  <c r="F202" i="20" s="1"/>
  <c r="E201" i="20"/>
  <c r="D201" i="20"/>
  <c r="D202" i="20" s="1"/>
  <c r="D196" i="20"/>
  <c r="C196" i="20"/>
  <c r="N191" i="20"/>
  <c r="M191" i="20"/>
  <c r="L191" i="20"/>
  <c r="K191" i="20"/>
  <c r="J191" i="20"/>
  <c r="I191" i="20"/>
  <c r="H191" i="20"/>
  <c r="G191" i="20"/>
  <c r="F191" i="20"/>
  <c r="E191" i="20"/>
  <c r="D191" i="20"/>
  <c r="C191" i="20"/>
  <c r="I186" i="20"/>
  <c r="H186" i="20"/>
  <c r="G186" i="20"/>
  <c r="F186" i="20"/>
  <c r="E186" i="20"/>
  <c r="D186" i="20"/>
  <c r="C186" i="20"/>
  <c r="C181" i="20"/>
  <c r="B181" i="20"/>
  <c r="M177" i="20"/>
  <c r="L177" i="20"/>
  <c r="K177" i="20"/>
  <c r="J177" i="20"/>
  <c r="I177" i="20"/>
  <c r="H177" i="20"/>
  <c r="G177" i="20"/>
  <c r="F177" i="20"/>
  <c r="E177" i="20"/>
  <c r="D177" i="20"/>
  <c r="C177" i="20"/>
  <c r="B177" i="20"/>
  <c r="A177" i="20"/>
  <c r="J173" i="20"/>
  <c r="I173" i="20"/>
  <c r="H173" i="20"/>
  <c r="G173" i="20"/>
  <c r="F173" i="20"/>
  <c r="E173" i="20"/>
  <c r="D173" i="20"/>
  <c r="C173" i="20"/>
  <c r="B173" i="20"/>
  <c r="A173" i="20"/>
  <c r="F168" i="20"/>
  <c r="E168" i="20"/>
  <c r="D168" i="20"/>
  <c r="C168" i="20"/>
  <c r="B168" i="20"/>
  <c r="F164" i="20"/>
  <c r="E164" i="20"/>
  <c r="D164" i="20"/>
  <c r="C164" i="20"/>
  <c r="B164" i="20"/>
  <c r="A164" i="20"/>
  <c r="G158" i="20"/>
  <c r="F158" i="20"/>
  <c r="C153" i="20"/>
  <c r="B153" i="20"/>
  <c r="D148" i="20"/>
  <c r="C148" i="20"/>
  <c r="B148" i="20"/>
  <c r="D141" i="20"/>
  <c r="C141" i="20"/>
  <c r="B141" i="20"/>
  <c r="D136" i="20"/>
  <c r="C136" i="20"/>
  <c r="B136" i="20"/>
  <c r="A132" i="20"/>
  <c r="A129" i="20"/>
  <c r="A126" i="20"/>
  <c r="J122" i="20"/>
  <c r="I122" i="20"/>
  <c r="H122" i="20"/>
  <c r="G122" i="20"/>
  <c r="F122" i="20"/>
  <c r="E122" i="20"/>
  <c r="D122" i="20"/>
  <c r="C122" i="20"/>
  <c r="I117" i="20"/>
  <c r="H117" i="20"/>
  <c r="G117" i="20"/>
  <c r="F117" i="20"/>
  <c r="E117" i="20"/>
  <c r="D117" i="20"/>
  <c r="C117" i="20"/>
  <c r="F112" i="20"/>
  <c r="E112" i="20"/>
  <c r="D112" i="20"/>
  <c r="C112" i="20"/>
  <c r="C107" i="20"/>
  <c r="B107" i="20"/>
  <c r="A103" i="20"/>
  <c r="A101" i="20"/>
  <c r="E96" i="20"/>
  <c r="A96" i="20"/>
  <c r="E91" i="20"/>
  <c r="A91" i="20"/>
  <c r="C81" i="20"/>
  <c r="B81" i="20"/>
  <c r="D81" i="20" s="1"/>
  <c r="D76" i="20"/>
  <c r="C76" i="20"/>
  <c r="C72" i="20"/>
  <c r="C70" i="20"/>
  <c r="D66" i="20"/>
  <c r="C66" i="20"/>
  <c r="B62" i="20"/>
  <c r="C58" i="20"/>
  <c r="B58" i="20"/>
  <c r="L53" i="20"/>
  <c r="K53" i="20"/>
  <c r="J53" i="20"/>
  <c r="I53" i="20"/>
  <c r="H53" i="20"/>
  <c r="G53" i="20"/>
  <c r="F53" i="20"/>
  <c r="E53" i="20"/>
  <c r="D53" i="20"/>
  <c r="C53" i="20"/>
  <c r="B53" i="20"/>
  <c r="H48" i="20"/>
  <c r="G48" i="20"/>
  <c r="F48" i="20"/>
  <c r="E48" i="20"/>
  <c r="D48" i="20"/>
  <c r="C48" i="20"/>
  <c r="B48" i="20"/>
  <c r="G43" i="20"/>
  <c r="F43" i="20"/>
  <c r="E43" i="20"/>
  <c r="D43" i="20"/>
  <c r="C43" i="20"/>
  <c r="J38" i="20"/>
  <c r="I38" i="20"/>
  <c r="H38" i="20"/>
  <c r="G38" i="20"/>
  <c r="F38" i="20"/>
  <c r="E38" i="20"/>
  <c r="D38" i="20"/>
  <c r="C38" i="20"/>
  <c r="G33" i="20"/>
  <c r="F33" i="20"/>
  <c r="E33" i="20"/>
  <c r="D33" i="20"/>
  <c r="C33" i="20"/>
  <c r="K28" i="20"/>
  <c r="J28" i="20"/>
  <c r="I28" i="20"/>
  <c r="H28" i="20"/>
  <c r="G28" i="20"/>
  <c r="F28" i="20"/>
  <c r="E28" i="20"/>
  <c r="D28" i="20"/>
  <c r="C28" i="20"/>
  <c r="D23" i="20"/>
  <c r="C23" i="20"/>
  <c r="B23" i="20"/>
  <c r="D18" i="20"/>
  <c r="C18" i="20"/>
  <c r="B18" i="20"/>
  <c r="F12" i="20"/>
  <c r="E12" i="20"/>
  <c r="D12" i="20"/>
  <c r="C12" i="20"/>
  <c r="B12" i="20"/>
  <c r="D7" i="20"/>
  <c r="C7" i="20"/>
  <c r="B7" i="20"/>
  <c r="B3" i="20"/>
  <c r="B3" i="18"/>
  <c r="M167" i="18"/>
  <c r="L167" i="18"/>
  <c r="K167" i="18"/>
  <c r="J167" i="18"/>
  <c r="I167" i="18"/>
  <c r="H167" i="18"/>
  <c r="G167" i="18"/>
  <c r="F167" i="18"/>
  <c r="E167" i="18"/>
  <c r="D167" i="18"/>
  <c r="C167" i="18"/>
  <c r="B167" i="18"/>
  <c r="A167" i="18"/>
  <c r="H160" i="18"/>
  <c r="G160" i="18"/>
  <c r="F160" i="18"/>
  <c r="E160" i="18"/>
  <c r="D160" i="18"/>
  <c r="D155" i="18"/>
  <c r="C155" i="18"/>
  <c r="E155" i="18" s="1"/>
  <c r="O150" i="18"/>
  <c r="N150" i="18"/>
  <c r="M150" i="18"/>
  <c r="L150" i="18"/>
  <c r="K150" i="18"/>
  <c r="J150" i="18"/>
  <c r="I150" i="18"/>
  <c r="H150" i="18"/>
  <c r="G150" i="18"/>
  <c r="F150" i="18"/>
  <c r="E150" i="18"/>
  <c r="D150" i="18"/>
  <c r="C150" i="18"/>
  <c r="I145" i="18"/>
  <c r="H145" i="18"/>
  <c r="G145" i="18"/>
  <c r="F145" i="18"/>
  <c r="E145" i="18"/>
  <c r="D145" i="18"/>
  <c r="C145" i="18"/>
  <c r="C140" i="18"/>
  <c r="B140" i="18"/>
  <c r="I136" i="18"/>
  <c r="H136" i="18"/>
  <c r="G136" i="18"/>
  <c r="F136" i="18"/>
  <c r="E136" i="18"/>
  <c r="D136" i="18"/>
  <c r="C136" i="18"/>
  <c r="B136" i="18"/>
  <c r="A136" i="18"/>
  <c r="L132" i="18"/>
  <c r="K132" i="18"/>
  <c r="J132" i="18"/>
  <c r="I132" i="18"/>
  <c r="H132" i="18"/>
  <c r="G132" i="18"/>
  <c r="F132" i="18"/>
  <c r="E132" i="18"/>
  <c r="D132" i="18"/>
  <c r="C132" i="18"/>
  <c r="B132" i="18"/>
  <c r="A132" i="18"/>
  <c r="F127" i="18"/>
  <c r="E127" i="18"/>
  <c r="D127" i="18"/>
  <c r="C127" i="18"/>
  <c r="B127" i="18"/>
  <c r="D122" i="18"/>
  <c r="D123" i="18" s="1"/>
  <c r="C122" i="18"/>
  <c r="C123" i="18" s="1"/>
  <c r="B122" i="18"/>
  <c r="B123" i="18" s="1"/>
  <c r="I117" i="18"/>
  <c r="I118" i="18" s="1"/>
  <c r="H117" i="18"/>
  <c r="H118" i="18" s="1"/>
  <c r="G117" i="18"/>
  <c r="G118" i="18" s="1"/>
  <c r="F117" i="18"/>
  <c r="F118" i="18" s="1"/>
  <c r="E117" i="18"/>
  <c r="E118" i="18" s="1"/>
  <c r="D117" i="18"/>
  <c r="D118" i="18" s="1"/>
  <c r="C117" i="18"/>
  <c r="C118" i="18" s="1"/>
  <c r="B117" i="18"/>
  <c r="B118" i="18" s="1"/>
  <c r="G113" i="18"/>
  <c r="F113" i="18"/>
  <c r="E113" i="18"/>
  <c r="D113" i="18"/>
  <c r="C113" i="18"/>
  <c r="B113" i="18"/>
  <c r="F108" i="18"/>
  <c r="E108" i="18"/>
  <c r="D108" i="18"/>
  <c r="G108" i="18" s="1"/>
  <c r="D103" i="18"/>
  <c r="D104" i="18" s="1"/>
  <c r="C103" i="18"/>
  <c r="C104" i="18" s="1"/>
  <c r="F104" i="18" s="1"/>
  <c r="B99" i="18"/>
  <c r="C95" i="18"/>
  <c r="D90" i="18"/>
  <c r="C90" i="18"/>
  <c r="B90" i="18"/>
  <c r="E90" i="18" s="1"/>
  <c r="I83" i="18"/>
  <c r="H83" i="18"/>
  <c r="G83" i="18"/>
  <c r="F83" i="18"/>
  <c r="E83" i="18"/>
  <c r="D83" i="18"/>
  <c r="C83" i="18"/>
  <c r="J78" i="18"/>
  <c r="I78" i="18"/>
  <c r="H78" i="18"/>
  <c r="G78" i="18"/>
  <c r="F78" i="18"/>
  <c r="E78" i="18"/>
  <c r="D78" i="18"/>
  <c r="C78" i="18"/>
  <c r="F73" i="18"/>
  <c r="E73" i="18"/>
  <c r="D73" i="18"/>
  <c r="C68" i="18"/>
  <c r="B68" i="18"/>
  <c r="G63" i="18"/>
  <c r="F63" i="18"/>
  <c r="E63" i="18"/>
  <c r="D63" i="18"/>
  <c r="C63" i="18"/>
  <c r="F58" i="18"/>
  <c r="E58" i="18"/>
  <c r="D58" i="18"/>
  <c r="C58" i="18"/>
  <c r="B58" i="18"/>
  <c r="H53" i="18"/>
  <c r="G53" i="18"/>
  <c r="E53" i="18"/>
  <c r="D53" i="18"/>
  <c r="C53" i="18"/>
  <c r="B53" i="18"/>
  <c r="E45" i="18"/>
  <c r="D45" i="18"/>
  <c r="C45" i="18"/>
  <c r="B45" i="18"/>
  <c r="L38" i="18"/>
  <c r="K38" i="18"/>
  <c r="J38" i="18"/>
  <c r="I38" i="18"/>
  <c r="H38" i="18"/>
  <c r="G38" i="18"/>
  <c r="F38" i="18"/>
  <c r="E38" i="18"/>
  <c r="D38" i="18"/>
  <c r="C38" i="18"/>
  <c r="B38" i="18"/>
  <c r="I28" i="18"/>
  <c r="H28" i="18"/>
  <c r="H29" i="18" s="1"/>
  <c r="G28" i="18"/>
  <c r="F28" i="18"/>
  <c r="E28" i="18"/>
  <c r="D28" i="18"/>
  <c r="H23" i="18"/>
  <c r="G23" i="18"/>
  <c r="F23" i="18"/>
  <c r="D23" i="18"/>
  <c r="I23" i="18" s="1"/>
  <c r="F18" i="18"/>
  <c r="E18" i="18"/>
  <c r="D18" i="18"/>
  <c r="G18" i="18" s="1"/>
  <c r="D13" i="18"/>
  <c r="C13" i="18"/>
  <c r="B13" i="18"/>
  <c r="G7" i="18"/>
  <c r="F7" i="18"/>
  <c r="E7" i="18"/>
  <c r="D7" i="18"/>
  <c r="C7" i="18"/>
  <c r="E196" i="20" l="1"/>
  <c r="F239" i="22"/>
  <c r="H259" i="22"/>
  <c r="G269" i="22"/>
  <c r="D239" i="22"/>
  <c r="D132" i="21"/>
  <c r="E239" i="22"/>
  <c r="E181" i="23"/>
  <c r="G239" i="22"/>
  <c r="E263" i="22"/>
  <c r="C19" i="20"/>
  <c r="E8" i="20"/>
  <c r="F7" i="20"/>
  <c r="H239" i="22"/>
  <c r="J259" i="22"/>
  <c r="I259" i="22"/>
  <c r="E128" i="18"/>
  <c r="I239" i="22"/>
  <c r="C259" i="22"/>
  <c r="J239" i="22"/>
  <c r="D259" i="22"/>
  <c r="C239" i="22"/>
  <c r="E259" i="22"/>
  <c r="D269" i="22"/>
  <c r="C128" i="18"/>
  <c r="H269" i="22"/>
  <c r="D128" i="18"/>
  <c r="F128" i="18"/>
  <c r="F259" i="22"/>
  <c r="E269" i="22"/>
  <c r="B128" i="18"/>
  <c r="D253" i="22"/>
  <c r="G259" i="22"/>
  <c r="F269" i="22"/>
  <c r="H108" i="21"/>
  <c r="D12" i="21"/>
  <c r="F103" i="21"/>
  <c r="H86" i="21"/>
  <c r="G103" i="21"/>
  <c r="I108" i="21"/>
  <c r="G97" i="21"/>
  <c r="I103" i="21"/>
  <c r="E7" i="21"/>
  <c r="F82" i="21" s="1"/>
  <c r="D30" i="21"/>
  <c r="H103" i="21"/>
  <c r="C108" i="21"/>
  <c r="B138" i="21"/>
  <c r="D108" i="21"/>
  <c r="C138" i="21"/>
  <c r="B151" i="21"/>
  <c r="D150" i="21"/>
  <c r="C103" i="21"/>
  <c r="E108" i="21"/>
  <c r="D138" i="21"/>
  <c r="C151" i="21"/>
  <c r="D103" i="21"/>
  <c r="F108" i="21"/>
  <c r="E138" i="21"/>
  <c r="H71" i="21"/>
  <c r="E103" i="21"/>
  <c r="G108" i="21"/>
  <c r="F138" i="21"/>
  <c r="I66" i="21"/>
  <c r="G35" i="21"/>
  <c r="D50" i="21"/>
  <c r="I81" i="21"/>
  <c r="D92" i="21"/>
  <c r="E17" i="21"/>
  <c r="D233" i="22"/>
  <c r="D298" i="22"/>
  <c r="D293" i="22"/>
  <c r="D278" i="22"/>
  <c r="D273" i="22"/>
  <c r="D248" i="22"/>
  <c r="D288" i="22"/>
  <c r="D243" i="22"/>
  <c r="D283" i="22"/>
  <c r="D303" i="22"/>
  <c r="E148" i="20"/>
  <c r="B180" i="22"/>
  <c r="B190" i="22"/>
  <c r="C180" i="22"/>
  <c r="C190" i="22"/>
  <c r="D202" i="22"/>
  <c r="D224" i="22"/>
  <c r="D180" i="22"/>
  <c r="D190" i="22"/>
  <c r="E224" i="22"/>
  <c r="E180" i="22"/>
  <c r="E190" i="22"/>
  <c r="F224" i="22"/>
  <c r="F180" i="22"/>
  <c r="G224" i="22"/>
  <c r="G180" i="22"/>
  <c r="H224" i="22"/>
  <c r="B185" i="22"/>
  <c r="C185" i="22"/>
  <c r="E218" i="22"/>
  <c r="B45" i="22"/>
  <c r="G77" i="22"/>
  <c r="D104" i="22"/>
  <c r="D184" i="22"/>
  <c r="E202" i="20"/>
  <c r="H162" i="22"/>
  <c r="D129" i="22"/>
  <c r="D142" i="22"/>
  <c r="F39" i="22"/>
  <c r="G147" i="22"/>
  <c r="H179" i="22"/>
  <c r="D29" i="18"/>
  <c r="E29" i="18"/>
  <c r="F29" i="18"/>
  <c r="D77" i="22"/>
  <c r="E77" i="22"/>
  <c r="D181" i="20"/>
  <c r="C45" i="22"/>
  <c r="D67" i="22"/>
  <c r="D81" i="22"/>
  <c r="D45" i="22"/>
  <c r="E45" i="22"/>
  <c r="C87" i="22"/>
  <c r="G86" i="22"/>
  <c r="F45" i="22"/>
  <c r="C58" i="22"/>
  <c r="H76" i="22"/>
  <c r="C77" i="22"/>
  <c r="D87" i="22"/>
  <c r="E97" i="22"/>
  <c r="F190" i="22"/>
  <c r="G45" i="22"/>
  <c r="D58" i="22"/>
  <c r="E87" i="22"/>
  <c r="I45" i="22"/>
  <c r="F87" i="22"/>
  <c r="J45" i="22"/>
  <c r="F77" i="22"/>
  <c r="E103" i="22"/>
  <c r="C104" i="22"/>
  <c r="E104" i="22" s="1"/>
  <c r="C67" i="22"/>
  <c r="E66" i="22"/>
  <c r="D71" i="22"/>
  <c r="E49" i="22"/>
  <c r="H208" i="22"/>
  <c r="I214" i="22"/>
  <c r="D219" i="22"/>
  <c r="E57" i="22"/>
  <c r="G202" i="20"/>
  <c r="E9" i="22"/>
  <c r="B50" i="22" s="1"/>
  <c r="D34" i="22"/>
  <c r="E66" i="20"/>
  <c r="H202" i="20"/>
  <c r="H29" i="22"/>
  <c r="C20" i="22"/>
  <c r="H20" i="22" s="1"/>
  <c r="H19" i="22"/>
  <c r="E120" i="23"/>
  <c r="E74" i="23"/>
  <c r="D161" i="18"/>
  <c r="E49" i="23"/>
  <c r="F161" i="18"/>
  <c r="G161" i="18"/>
  <c r="H161" i="18"/>
  <c r="G12" i="20"/>
  <c r="D58" i="20"/>
  <c r="E59" i="23"/>
  <c r="E89" i="23"/>
  <c r="G8" i="23"/>
  <c r="E161" i="18"/>
  <c r="E64" i="23"/>
  <c r="F14" i="23"/>
  <c r="D44" i="23"/>
  <c r="E18" i="20"/>
  <c r="E76" i="20"/>
  <c r="E107" i="20"/>
  <c r="E136" i="20"/>
  <c r="D153" i="20"/>
  <c r="G112" i="20"/>
  <c r="I118" i="20" s="1"/>
  <c r="E141" i="20"/>
  <c r="H158" i="20"/>
  <c r="H43" i="20"/>
  <c r="H33" i="20"/>
  <c r="F103" i="18"/>
  <c r="D140" i="18"/>
  <c r="E122" i="18"/>
  <c r="J117" i="18"/>
  <c r="H113" i="18"/>
  <c r="G73" i="18"/>
  <c r="H8" i="18"/>
  <c r="I63" i="18"/>
  <c r="F45" i="18"/>
  <c r="G29" i="18"/>
  <c r="G58" i="18"/>
  <c r="I7" i="18"/>
  <c r="D95" i="18"/>
  <c r="I29" i="18"/>
  <c r="I53" i="18"/>
  <c r="D68" i="18"/>
  <c r="F39" i="18"/>
  <c r="G39" i="18"/>
  <c r="E39" i="18"/>
  <c r="H39" i="18"/>
  <c r="I39" i="18"/>
  <c r="B39" i="18"/>
  <c r="C39" i="18"/>
  <c r="K39" i="18"/>
  <c r="J39" i="18"/>
  <c r="D39" i="18"/>
  <c r="L39" i="18"/>
  <c r="B14" i="18"/>
  <c r="C14" i="18"/>
  <c r="D14" i="18"/>
  <c r="G114" i="22"/>
  <c r="H34" i="18"/>
  <c r="E34" i="18"/>
  <c r="G34" i="18"/>
  <c r="D34" i="18"/>
  <c r="F34" i="18"/>
  <c r="F30" i="22"/>
  <c r="D98" i="20"/>
  <c r="I153" i="22"/>
  <c r="C30" i="22"/>
  <c r="H30" i="22" s="1"/>
  <c r="H41" i="21"/>
  <c r="N214" i="22"/>
  <c r="G49" i="20"/>
  <c r="J87" i="20"/>
  <c r="H87" i="20"/>
  <c r="E87" i="20"/>
  <c r="G87" i="20"/>
  <c r="D87" i="20"/>
  <c r="F87" i="20"/>
  <c r="I87" i="20"/>
  <c r="K87" i="20"/>
  <c r="C87" i="20"/>
  <c r="E118" i="20"/>
  <c r="F192" i="20"/>
  <c r="C44" i="20"/>
  <c r="H44" i="20" s="1"/>
  <c r="G41" i="21"/>
  <c r="D119" i="22"/>
  <c r="C77" i="20"/>
  <c r="J153" i="22"/>
  <c r="D46" i="21"/>
  <c r="F46" i="21"/>
  <c r="D77" i="20"/>
  <c r="F98" i="21"/>
  <c r="B125" i="23"/>
  <c r="C125" i="23"/>
  <c r="D125" i="23"/>
  <c r="C114" i="23"/>
  <c r="D114" i="23"/>
  <c r="E114" i="23"/>
  <c r="H114" i="23"/>
  <c r="F114" i="23"/>
  <c r="G114" i="23"/>
  <c r="B114" i="23"/>
  <c r="B19" i="23"/>
  <c r="I39" i="20"/>
  <c r="D15" i="22"/>
  <c r="E148" i="22"/>
  <c r="F34" i="20"/>
  <c r="H158" i="22"/>
  <c r="E46" i="21"/>
  <c r="D118" i="20"/>
  <c r="D30" i="22"/>
  <c r="D79" i="18"/>
  <c r="C19" i="23"/>
  <c r="C46" i="21"/>
  <c r="G109" i="23"/>
  <c r="B109" i="23"/>
  <c r="D19" i="23"/>
  <c r="C109" i="23"/>
  <c r="F109" i="23"/>
  <c r="E109" i="23"/>
  <c r="E19" i="23"/>
  <c r="D109" i="23"/>
  <c r="H109" i="23"/>
  <c r="D67" i="20"/>
  <c r="I41" i="21"/>
  <c r="C67" i="20"/>
  <c r="D98" i="21"/>
  <c r="F119" i="22"/>
  <c r="C118" i="20"/>
  <c r="D148" i="22"/>
  <c r="E15" i="22"/>
  <c r="K15" i="22"/>
  <c r="H118" i="20"/>
  <c r="I15" i="22"/>
  <c r="J119" i="22"/>
  <c r="F153" i="22"/>
  <c r="F41" i="21"/>
  <c r="K46" i="21"/>
  <c r="J15" i="22"/>
  <c r="D113" i="20"/>
  <c r="F123" i="20"/>
  <c r="F15" i="22"/>
  <c r="G119" i="22"/>
  <c r="G123" i="20"/>
  <c r="F159" i="20"/>
  <c r="J41" i="21"/>
  <c r="C148" i="22"/>
  <c r="D93" i="20"/>
  <c r="E123" i="20"/>
  <c r="H15" i="22"/>
  <c r="E153" i="22"/>
  <c r="C36" i="21"/>
  <c r="M15" i="22"/>
  <c r="L15" i="22"/>
  <c r="E30" i="22"/>
  <c r="C15" i="22"/>
  <c r="F109" i="22"/>
  <c r="G15" i="22"/>
  <c r="C264" i="22"/>
  <c r="D156" i="18"/>
  <c r="F79" i="18"/>
  <c r="G79" i="18"/>
  <c r="I84" i="18"/>
  <c r="E109" i="18"/>
  <c r="J123" i="20"/>
  <c r="G109" i="22"/>
  <c r="K119" i="22"/>
  <c r="G153" i="22"/>
  <c r="C79" i="18"/>
  <c r="I123" i="20"/>
  <c r="E114" i="22"/>
  <c r="E119" i="22"/>
  <c r="C40" i="22"/>
  <c r="I146" i="18"/>
  <c r="C151" i="18"/>
  <c r="K151" i="18"/>
  <c r="I151" i="18"/>
  <c r="H123" i="20"/>
  <c r="E109" i="22"/>
  <c r="I119" i="22"/>
  <c r="E36" i="21"/>
  <c r="E41" i="21"/>
  <c r="M41" i="21"/>
  <c r="J46" i="21"/>
  <c r="E123" i="18"/>
  <c r="I79" i="18"/>
  <c r="F151" i="18"/>
  <c r="J214" i="22"/>
  <c r="J118" i="18"/>
  <c r="D19" i="18"/>
  <c r="F74" i="18"/>
  <c r="F146" i="18"/>
  <c r="G151" i="18"/>
  <c r="O151" i="18"/>
  <c r="G146" i="18"/>
  <c r="H151" i="18"/>
  <c r="G84" i="18"/>
  <c r="J39" i="20"/>
  <c r="C41" i="21"/>
  <c r="G208" i="22"/>
  <c r="F84" i="18"/>
  <c r="C156" i="18"/>
  <c r="C123" i="20"/>
  <c r="D109" i="18"/>
  <c r="D123" i="20"/>
  <c r="C219" i="22"/>
  <c r="E74" i="18"/>
  <c r="E79" i="18"/>
  <c r="F109" i="18"/>
  <c r="E146" i="18"/>
  <c r="J151" i="18"/>
  <c r="J79" i="18"/>
  <c r="F114" i="22"/>
  <c r="K41" i="21"/>
  <c r="H46" i="21"/>
  <c r="G30" i="22"/>
  <c r="H114" i="22"/>
  <c r="H119" i="22"/>
  <c r="E158" i="22"/>
  <c r="M158" i="22"/>
  <c r="I208" i="22"/>
  <c r="D41" i="21"/>
  <c r="L41" i="21"/>
  <c r="I46" i="21"/>
  <c r="H128" i="21"/>
  <c r="C59" i="20"/>
  <c r="I187" i="20"/>
  <c r="L158" i="22"/>
  <c r="H49" i="20"/>
  <c r="D13" i="20"/>
  <c r="J29" i="20"/>
  <c r="D39" i="20"/>
  <c r="F49" i="20"/>
  <c r="C192" i="20"/>
  <c r="K192" i="20"/>
  <c r="H192" i="20"/>
  <c r="M151" i="18"/>
  <c r="J158" i="22"/>
  <c r="B8" i="20"/>
  <c r="D158" i="22"/>
  <c r="N151" i="18"/>
  <c r="C146" i="18"/>
  <c r="L151" i="18"/>
  <c r="H79" i="18"/>
  <c r="H84" i="18"/>
  <c r="C109" i="18"/>
  <c r="G109" i="18" s="1"/>
  <c r="D146" i="18"/>
  <c r="E151" i="18"/>
  <c r="C29" i="20"/>
  <c r="C13" i="20"/>
  <c r="I29" i="20"/>
  <c r="E49" i="20"/>
  <c r="C74" i="18"/>
  <c r="D151" i="18"/>
  <c r="H146" i="18"/>
  <c r="G34" i="20"/>
  <c r="F113" i="20"/>
  <c r="F44" i="20"/>
  <c r="G44" i="20"/>
  <c r="H54" i="20"/>
  <c r="D187" i="20"/>
  <c r="H56" i="21"/>
  <c r="B128" i="21"/>
  <c r="D109" i="22"/>
  <c r="F148" i="22"/>
  <c r="K214" i="22"/>
  <c r="D264" i="22"/>
  <c r="B49" i="20"/>
  <c r="N192" i="20"/>
  <c r="L214" i="22"/>
  <c r="E13" i="20"/>
  <c r="F39" i="20"/>
  <c r="D192" i="20"/>
  <c r="J56" i="21"/>
  <c r="D128" i="21"/>
  <c r="I158" i="22"/>
  <c r="C208" i="22"/>
  <c r="F13" i="20"/>
  <c r="F29" i="20"/>
  <c r="D34" i="20"/>
  <c r="G39" i="20"/>
  <c r="D49" i="20"/>
  <c r="G187" i="20"/>
  <c r="L192" i="20"/>
  <c r="K56" i="21"/>
  <c r="E128" i="21"/>
  <c r="K114" i="22"/>
  <c r="K158" i="22"/>
  <c r="D208" i="22"/>
  <c r="E214" i="22"/>
  <c r="O214" i="22"/>
  <c r="B24" i="20"/>
  <c r="C182" i="20"/>
  <c r="B13" i="21"/>
  <c r="C56" i="21"/>
  <c r="D40" i="22"/>
  <c r="H29" i="20"/>
  <c r="C39" i="20"/>
  <c r="C187" i="20"/>
  <c r="C13" i="21"/>
  <c r="E56" i="21"/>
  <c r="E40" i="22"/>
  <c r="G158" i="22"/>
  <c r="E39" i="20"/>
  <c r="C214" i="22"/>
  <c r="C49" i="20"/>
  <c r="J114" i="22"/>
  <c r="L54" i="20"/>
  <c r="B19" i="20"/>
  <c r="G29" i="20"/>
  <c r="E34" i="20"/>
  <c r="H39" i="20"/>
  <c r="C113" i="20"/>
  <c r="C197" i="20"/>
  <c r="G128" i="21"/>
  <c r="D114" i="22"/>
  <c r="E208" i="22"/>
  <c r="G214" i="22"/>
  <c r="F214" i="22"/>
  <c r="C8" i="20"/>
  <c r="B13" i="20"/>
  <c r="E29" i="20"/>
  <c r="B54" i="20"/>
  <c r="I192" i="20"/>
  <c r="K29" i="20"/>
  <c r="I54" i="20"/>
  <c r="F187" i="20"/>
  <c r="I56" i="21"/>
  <c r="C128" i="21"/>
  <c r="I114" i="22"/>
  <c r="C203" i="22"/>
  <c r="D29" i="20"/>
  <c r="C34" i="20"/>
  <c r="H34" i="20" s="1"/>
  <c r="J54" i="20"/>
  <c r="D214" i="22"/>
  <c r="M214" i="22"/>
  <c r="D197" i="20"/>
  <c r="F128" i="21"/>
  <c r="F208" i="22"/>
  <c r="H214" i="22"/>
  <c r="D44" i="20"/>
  <c r="E54" i="20"/>
  <c r="E98" i="21"/>
  <c r="D10" i="22"/>
  <c r="G46" i="21"/>
  <c r="F56" i="21"/>
  <c r="B203" i="22"/>
  <c r="D153" i="22"/>
  <c r="G118" i="20"/>
  <c r="D36" i="21"/>
  <c r="G54" i="20"/>
  <c r="G159" i="20"/>
  <c r="H187" i="20"/>
  <c r="E192" i="20"/>
  <c r="C24" i="20"/>
  <c r="B182" i="20"/>
  <c r="G192" i="20"/>
  <c r="E44" i="20"/>
  <c r="F54" i="20"/>
  <c r="C82" i="20"/>
  <c r="M192" i="20"/>
  <c r="G56" i="21"/>
  <c r="D24" i="20"/>
  <c r="E113" i="20"/>
  <c r="F36" i="21"/>
  <c r="F158" i="22"/>
  <c r="B82" i="20"/>
  <c r="E23" i="20"/>
  <c r="D8" i="20"/>
  <c r="D19" i="20"/>
  <c r="C54" i="20"/>
  <c r="K54" i="20"/>
  <c r="C98" i="21"/>
  <c r="B10" i="22"/>
  <c r="H153" i="22"/>
  <c r="F118" i="20"/>
  <c r="B59" i="20"/>
  <c r="D54" i="20"/>
  <c r="E187" i="20"/>
  <c r="J192" i="20"/>
  <c r="D56" i="21"/>
  <c r="L56" i="21"/>
  <c r="C10" i="22"/>
  <c r="E24" i="18"/>
  <c r="F24" i="18"/>
  <c r="C84" i="18"/>
  <c r="G24" i="18"/>
  <c r="H24" i="18"/>
  <c r="E19" i="18"/>
  <c r="F19" i="18"/>
  <c r="D24" i="18"/>
  <c r="F8" i="18"/>
  <c r="E8" i="18"/>
  <c r="G8" i="18"/>
  <c r="C91" i="18"/>
  <c r="C8" i="18"/>
  <c r="D91" i="18"/>
  <c r="D8" i="18"/>
  <c r="B141" i="18"/>
  <c r="D84" i="18"/>
  <c r="C141" i="18"/>
  <c r="B8" i="18"/>
  <c r="E84" i="18"/>
  <c r="B91" i="18"/>
  <c r="E13" i="18"/>
  <c r="B96" i="18" s="1"/>
  <c r="D74" i="18"/>
  <c r="G72" i="21" l="1"/>
  <c r="B23" i="21"/>
  <c r="E82" i="21"/>
  <c r="F67" i="21"/>
  <c r="F8" i="20"/>
  <c r="B62" i="21"/>
  <c r="C87" i="21"/>
  <c r="B77" i="21"/>
  <c r="E87" i="21"/>
  <c r="D23" i="21"/>
  <c r="G82" i="21"/>
  <c r="G67" i="21"/>
  <c r="D62" i="21"/>
  <c r="F87" i="21"/>
  <c r="F72" i="21"/>
  <c r="B254" i="22"/>
  <c r="C234" i="22"/>
  <c r="E67" i="21"/>
  <c r="H23" i="21"/>
  <c r="C82" i="21"/>
  <c r="H62" i="21"/>
  <c r="I62" i="21"/>
  <c r="C77" i="21"/>
  <c r="I23" i="21"/>
  <c r="D82" i="21"/>
  <c r="H82" i="21"/>
  <c r="G87" i="21"/>
  <c r="C23" i="21"/>
  <c r="D67" i="21"/>
  <c r="G62" i="21"/>
  <c r="B244" i="22"/>
  <c r="C249" i="22"/>
  <c r="B154" i="20"/>
  <c r="D108" i="20"/>
  <c r="G23" i="21"/>
  <c r="F62" i="21"/>
  <c r="D77" i="21"/>
  <c r="D72" i="21"/>
  <c r="C244" i="22"/>
  <c r="E264" i="22"/>
  <c r="F23" i="21"/>
  <c r="C67" i="21"/>
  <c r="E62" i="21"/>
  <c r="D87" i="21"/>
  <c r="C254" i="22"/>
  <c r="E23" i="21"/>
  <c r="H67" i="21"/>
  <c r="C62" i="21"/>
  <c r="C72" i="21"/>
  <c r="H77" i="21"/>
  <c r="B249" i="22"/>
  <c r="D151" i="21"/>
  <c r="G98" i="21"/>
  <c r="G77" i="21"/>
  <c r="E72" i="21"/>
  <c r="E77" i="21"/>
  <c r="F77" i="21"/>
  <c r="I77" i="21"/>
  <c r="G36" i="21"/>
  <c r="D13" i="21"/>
  <c r="B234" i="22"/>
  <c r="B289" i="22"/>
  <c r="C304" i="22"/>
  <c r="B304" i="22"/>
  <c r="C299" i="22"/>
  <c r="B299" i="22"/>
  <c r="C294" i="22"/>
  <c r="B294" i="22"/>
  <c r="B284" i="22"/>
  <c r="C289" i="22"/>
  <c r="D289" i="22" s="1"/>
  <c r="C284" i="22"/>
  <c r="C279" i="22"/>
  <c r="C274" i="22"/>
  <c r="B279" i="22"/>
  <c r="B274" i="22"/>
  <c r="E219" i="22"/>
  <c r="D203" i="22"/>
  <c r="E58" i="22"/>
  <c r="H180" i="22"/>
  <c r="B143" i="22"/>
  <c r="E67" i="22"/>
  <c r="E124" i="22"/>
  <c r="B130" i="22"/>
  <c r="B124" i="22"/>
  <c r="F163" i="22"/>
  <c r="D163" i="22"/>
  <c r="C124" i="22"/>
  <c r="C143" i="22"/>
  <c r="B163" i="22"/>
  <c r="G163" i="22"/>
  <c r="C130" i="22"/>
  <c r="G124" i="22"/>
  <c r="G148" i="22"/>
  <c r="D124" i="22"/>
  <c r="C163" i="22"/>
  <c r="F124" i="22"/>
  <c r="E163" i="22"/>
  <c r="M93" i="22"/>
  <c r="L93" i="22"/>
  <c r="K93" i="22"/>
  <c r="E93" i="22"/>
  <c r="G93" i="22"/>
  <c r="G87" i="22"/>
  <c r="E10" i="22"/>
  <c r="D98" i="22"/>
  <c r="I93" i="22"/>
  <c r="C93" i="22"/>
  <c r="C98" i="22"/>
  <c r="H77" i="22"/>
  <c r="C82" i="22"/>
  <c r="D93" i="22"/>
  <c r="C72" i="22"/>
  <c r="H93" i="22"/>
  <c r="B82" i="22"/>
  <c r="N93" i="22"/>
  <c r="B35" i="22"/>
  <c r="J93" i="22"/>
  <c r="B98" i="22"/>
  <c r="F93" i="22"/>
  <c r="B93" i="22"/>
  <c r="C35" i="22"/>
  <c r="B72" i="22"/>
  <c r="C50" i="22"/>
  <c r="D50" i="22"/>
  <c r="E197" i="20"/>
  <c r="D182" i="20"/>
  <c r="E156" i="18"/>
  <c r="F40" i="22"/>
  <c r="G113" i="20"/>
  <c r="D141" i="18"/>
  <c r="I109" i="23"/>
  <c r="E125" i="23"/>
  <c r="E67" i="20"/>
  <c r="E77" i="20"/>
  <c r="D59" i="20"/>
  <c r="C108" i="20"/>
  <c r="H159" i="20"/>
  <c r="G13" i="20"/>
  <c r="L87" i="20"/>
  <c r="B108" i="20"/>
  <c r="D82" i="20"/>
  <c r="E24" i="20"/>
  <c r="E19" i="20"/>
  <c r="I114" i="23"/>
  <c r="I8" i="18"/>
  <c r="I24" i="18"/>
  <c r="I34" i="18"/>
  <c r="C96" i="18"/>
  <c r="D96" i="18" s="1"/>
  <c r="E91" i="18"/>
  <c r="G19" i="18"/>
  <c r="G74" i="18"/>
  <c r="C59" i="18"/>
  <c r="E14" i="18"/>
  <c r="E114" i="21"/>
  <c r="B31" i="21"/>
  <c r="C133" i="21"/>
  <c r="B133" i="21"/>
  <c r="D133" i="21" s="1"/>
  <c r="C31" i="21"/>
  <c r="C114" i="21"/>
  <c r="B51" i="21"/>
  <c r="B137" i="20"/>
  <c r="D18" i="21"/>
  <c r="D137" i="20"/>
  <c r="C18" i="21"/>
  <c r="C8" i="21"/>
  <c r="G114" i="21"/>
  <c r="C93" i="21"/>
  <c r="C51" i="21"/>
  <c r="D169" i="20"/>
  <c r="C137" i="20"/>
  <c r="B149" i="20"/>
  <c r="B142" i="20"/>
  <c r="C142" i="20"/>
  <c r="F169" i="20"/>
  <c r="D149" i="20"/>
  <c r="D142" i="20"/>
  <c r="E169" i="20"/>
  <c r="C149" i="20"/>
  <c r="B114" i="21"/>
  <c r="C169" i="20"/>
  <c r="B8" i="21"/>
  <c r="E8" i="21" s="1"/>
  <c r="D114" i="21"/>
  <c r="B93" i="21"/>
  <c r="F114" i="21"/>
  <c r="B169" i="20"/>
  <c r="C154" i="20"/>
  <c r="B69" i="18"/>
  <c r="B64" i="18"/>
  <c r="B54" i="18"/>
  <c r="D54" i="18"/>
  <c r="F64" i="18"/>
  <c r="F54" i="18"/>
  <c r="E54" i="18"/>
  <c r="D64" i="18"/>
  <c r="E64" i="18"/>
  <c r="C69" i="18"/>
  <c r="B46" i="18"/>
  <c r="C46" i="18"/>
  <c r="H64" i="18"/>
  <c r="H54" i="18"/>
  <c r="F59" i="18"/>
  <c r="E59" i="18"/>
  <c r="E46" i="18"/>
  <c r="G64" i="18"/>
  <c r="C64" i="18"/>
  <c r="D59" i="18"/>
  <c r="G54" i="18"/>
  <c r="C54" i="18"/>
  <c r="B59" i="18"/>
  <c r="D46" i="18"/>
  <c r="I67" i="21" l="1"/>
  <c r="D254" i="22"/>
  <c r="D299" i="22"/>
  <c r="D249" i="22"/>
  <c r="H87" i="21"/>
  <c r="I82" i="21"/>
  <c r="D234" i="22"/>
  <c r="H72" i="21"/>
  <c r="D244" i="22"/>
  <c r="D154" i="20"/>
  <c r="D304" i="22"/>
  <c r="D31" i="21"/>
  <c r="D93" i="21"/>
  <c r="D51" i="21"/>
  <c r="E18" i="21"/>
  <c r="D284" i="22"/>
  <c r="D294" i="22"/>
  <c r="D274" i="22"/>
  <c r="D279" i="22"/>
  <c r="D185" i="22"/>
  <c r="E98" i="22"/>
  <c r="H163" i="22"/>
  <c r="D143" i="22"/>
  <c r="D82" i="22"/>
  <c r="D130" i="22"/>
  <c r="D35" i="22"/>
  <c r="D72" i="22"/>
  <c r="G59" i="18"/>
  <c r="E50" i="22"/>
  <c r="E108" i="20"/>
  <c r="E137" i="20"/>
  <c r="E142" i="20"/>
  <c r="E149" i="20"/>
  <c r="I64" i="18"/>
  <c r="D69" i="18"/>
  <c r="F46" i="18"/>
  <c r="I54" i="18"/>
</calcChain>
</file>

<file path=xl/sharedStrings.xml><?xml version="1.0" encoding="utf-8"?>
<sst xmlns="http://schemas.openxmlformats.org/spreadsheetml/2006/main" count="24153" uniqueCount="3541">
  <si>
    <t>start</t>
  </si>
  <si>
    <t>end</t>
  </si>
  <si>
    <t>today</t>
  </si>
  <si>
    <t>diviceid</t>
  </si>
  <si>
    <t>date</t>
  </si>
  <si>
    <t>enqueteur</t>
  </si>
  <si>
    <t>admin1</t>
  </si>
  <si>
    <t>admin2</t>
  </si>
  <si>
    <t>admin3</t>
  </si>
  <si>
    <t>nom_ic</t>
  </si>
  <si>
    <t>fonction_ic</t>
  </si>
  <si>
    <t>secteur_ic</t>
  </si>
  <si>
    <t>secteur_ic/eau</t>
  </si>
  <si>
    <t>secteur_ic/hygiene</t>
  </si>
  <si>
    <t>secteur_ic/education</t>
  </si>
  <si>
    <t>secteur_ic/sante</t>
  </si>
  <si>
    <t>secteur_ic/marche</t>
  </si>
  <si>
    <t>fonction_ic_autre</t>
  </si>
  <si>
    <t>point_eau_type</t>
  </si>
  <si>
    <t>point_eau_type_autre</t>
  </si>
  <si>
    <t>point_eau_fonctionnel</t>
  </si>
  <si>
    <t>point_eau_non_fonctionnel</t>
  </si>
  <si>
    <t>point_eau_non_fonctionnel/destruction</t>
  </si>
  <si>
    <t>point_eau_non_fonctionnel/contamination</t>
  </si>
  <si>
    <t>point_eau_non_fonctionnel/cadavre</t>
  </si>
  <si>
    <t>point_eau_non_fonctionnel/vol_equipement</t>
  </si>
  <si>
    <t>point_eau_non_fonctionnel/coupure_eau</t>
  </si>
  <si>
    <t>point_eau_non_fonctionnel/assechement_source</t>
  </si>
  <si>
    <t>point_eau_non_fonctionnel/non_acces</t>
  </si>
  <si>
    <t>point_eau_non_fonctionnel/degradation</t>
  </si>
  <si>
    <t>point_eau_non_fonctionnel/autre</t>
  </si>
  <si>
    <t>point_eau_non_fonctionnel_autre</t>
  </si>
  <si>
    <t>point_eau_utilisation</t>
  </si>
  <si>
    <t>point_eau_utilisateurs</t>
  </si>
  <si>
    <t>point_eau_attente</t>
  </si>
  <si>
    <t>point_eau_provenance_utilisateurs</t>
  </si>
  <si>
    <t>point_eau_provenance_utilisateurs_autre</t>
  </si>
  <si>
    <t>point_eau_frequentation</t>
  </si>
  <si>
    <t>point_eau_frequentation_evolution</t>
  </si>
  <si>
    <t>point_eau_frequentation_augmentation</t>
  </si>
  <si>
    <t>point_eau_frequentation_augmentation/destruction</t>
  </si>
  <si>
    <t>point_eau_frequentation_augmentation/insecurite</t>
  </si>
  <si>
    <t>point_eau_frequentation_augmentation/augmentation_population</t>
  </si>
  <si>
    <t>point_eau_frequentation_augmentation/deplaces</t>
  </si>
  <si>
    <t>point_eau_frequentation_augmentation/sensibilisation_eha</t>
  </si>
  <si>
    <t>point_eau_frequentation_augmentation/creation_rehab</t>
  </si>
  <si>
    <t>point_eau_frequentation_augmentation/nsp</t>
  </si>
  <si>
    <t>point_eau_frequentation_augmentation/autre</t>
  </si>
  <si>
    <t>point_eau_frequentation_augmentation_autre</t>
  </si>
  <si>
    <t>point_eau_frequentation_diminution</t>
  </si>
  <si>
    <t>point_eau_frequentation_diminution/rehabilitation</t>
  </si>
  <si>
    <t>point_eau_frequentation_diminution/insecurite</t>
  </si>
  <si>
    <t>point_eau_frequentation_diminution/diminution_population</t>
  </si>
  <si>
    <t>point_eau_frequentation_diminution/point_eau_prive</t>
  </si>
  <si>
    <t>point_eau_frequentation_diminution/dommages_evenements</t>
  </si>
  <si>
    <t>point_eau_frequentation_diminution/nsp</t>
  </si>
  <si>
    <t>point_eau_frequentation_diminution/autre</t>
  </si>
  <si>
    <t>point_eau_frequentation_diminution_autre</t>
  </si>
  <si>
    <t>point_eau_construction</t>
  </si>
  <si>
    <t>point_eau_construction/gvt</t>
  </si>
  <si>
    <t>point_eau_construction/mairie</t>
  </si>
  <si>
    <t>point_eau_construction/communaute</t>
  </si>
  <si>
    <t>point_eau_construction/secteur_prive</t>
  </si>
  <si>
    <t>point_eau_construction/ong_nationales</t>
  </si>
  <si>
    <t>point_eau_construction/ong_internationales</t>
  </si>
  <si>
    <t>point_eau_construction/organisation_religieuse</t>
  </si>
  <si>
    <t>point_eau_construction/nsp</t>
  </si>
  <si>
    <t>point_eau_construction/autre</t>
  </si>
  <si>
    <t>point_eau_construction_autre</t>
  </si>
  <si>
    <t>point_eau_payant</t>
  </si>
  <si>
    <t>point_eau_payant_modalite</t>
  </si>
  <si>
    <t>point_eau_payant_modalite_autre</t>
  </si>
  <si>
    <t>point_eau_payant_prix</t>
  </si>
  <si>
    <t>point_eau_prix_changement</t>
  </si>
  <si>
    <t>point_eau_prix_evolution</t>
  </si>
  <si>
    <t>point_eau_prix_augmentation</t>
  </si>
  <si>
    <t>point_eau_prix_augmentation/prix_equipement</t>
  </si>
  <si>
    <t>point_eau_prix_augmentation/prix_personnel</t>
  </si>
  <si>
    <t>point_eau_prix_augmentation/prix_maintenance</t>
  </si>
  <si>
    <t>point_eau_prix_augmentation/mode_gestion</t>
  </si>
  <si>
    <t>point_eau_prix_augmentation/nsp</t>
  </si>
  <si>
    <t>point_eau_prix_augmentation/autre</t>
  </si>
  <si>
    <t>point_eau_prix_augmentation_autre</t>
  </si>
  <si>
    <t>point_eau_prix_diminution</t>
  </si>
  <si>
    <t>point_eau_prix_diminution/prix_equipement</t>
  </si>
  <si>
    <t>point_eau_prix_diminution/prix_personnel</t>
  </si>
  <si>
    <t>point_eau_prix_diminution/prix_maintenance</t>
  </si>
  <si>
    <t>point_eau_prix_diminution/mode_gestion</t>
  </si>
  <si>
    <t>point_eau_prix_diminution/nsp</t>
  </si>
  <si>
    <t>point_eau_prix_diminution/autre</t>
  </si>
  <si>
    <t>point_eau_prix_diminution_autre</t>
  </si>
  <si>
    <t>point_eau_collecteur_redevance</t>
  </si>
  <si>
    <t>point_eau_collecteur_redevance/constructeur</t>
  </si>
  <si>
    <t>point_eau_collecteur_redevance/mairie</t>
  </si>
  <si>
    <t>point_eau_collecteur_redevance/communaute</t>
  </si>
  <si>
    <t>point_eau_collecteur_redevance/gvt</t>
  </si>
  <si>
    <t>point_eau_collecteur_redevance/comite-gestion</t>
  </si>
  <si>
    <t>point_eau_collecteur_redevance/menage</t>
  </si>
  <si>
    <t>point_eau_collecteur_redevance/nsp</t>
  </si>
  <si>
    <t>point_eau_collecteur_redevance/autre</t>
  </si>
  <si>
    <t>point_eau_collecteur_redevance_autre</t>
  </si>
  <si>
    <t>point_eau_mecanisme_sanction</t>
  </si>
  <si>
    <t>point_eau_mecanisme_sanction_type</t>
  </si>
  <si>
    <t>point_eau_mecanisme_sanction_type/amende</t>
  </si>
  <si>
    <t>point_eau_mecanisme_sanction_type/fin_droits</t>
  </si>
  <si>
    <t>point_eau_mecanisme_sanction_type/fin_droits_indefinie</t>
  </si>
  <si>
    <t>point_eau_mecanisme_sanction_type/nsp</t>
  </si>
  <si>
    <t>point_eau_mecanisme_sanction_type/autre</t>
  </si>
  <si>
    <t>point_eau_mecanisme_sanction_type_autre</t>
  </si>
  <si>
    <t>point_eau_fin_communautaire</t>
  </si>
  <si>
    <t>point_eau_fin_communautaire/dons_argent</t>
  </si>
  <si>
    <t>point_eau_fin_communautaire/dons_materiaux</t>
  </si>
  <si>
    <t>point_eau_fin_communautaire/nsp</t>
  </si>
  <si>
    <t>point_eau_fin_communautaire/autre</t>
  </si>
  <si>
    <t>point_eau_fin_communautaire/aucun</t>
  </si>
  <si>
    <t>point_eau_fin_communautaire_autre</t>
  </si>
  <si>
    <t>point_eau_contraintes_gestion</t>
  </si>
  <si>
    <t>point_eau_contraintes_gestion/financier</t>
  </si>
  <si>
    <t>point_eau_contraintes_gestion/materiel</t>
  </si>
  <si>
    <t>point_eau_contraintes_gestion/personnels_qualifies</t>
  </si>
  <si>
    <t>point_eau_contraintes_gestion/insecurite</t>
  </si>
  <si>
    <t>point_eau_contraintes_gestion/vols</t>
  </si>
  <si>
    <t>point_eau_contraintes_gestion/pression</t>
  </si>
  <si>
    <t>point_eau_contraintes_gestion/influences_politiques</t>
  </si>
  <si>
    <t>point_eau_contraintes_gestion/mauvaise_qualite</t>
  </si>
  <si>
    <t>point_eau_contraintes_gestion/finance_maintenance</t>
  </si>
  <si>
    <t>point_eau_contraintes_gestion/aucun</t>
  </si>
  <si>
    <t>point_eau_contraintes_gestion/nsp</t>
  </si>
  <si>
    <t>point_eau_contraintes_gestion/autre</t>
  </si>
  <si>
    <t>point_eau_contraintes_gestion_autre</t>
  </si>
  <si>
    <t>point_eau_acteurs_locaux</t>
  </si>
  <si>
    <t>point_eau_acteurs_locaux/mairie</t>
  </si>
  <si>
    <t>point_eau_acteurs_locaux/gvt</t>
  </si>
  <si>
    <t>point_eau_acteurs_locaux/ong_locales</t>
  </si>
  <si>
    <t>point_eau_acteurs_locaux/ong_nationales</t>
  </si>
  <si>
    <t>point_eau_acteurs_locaux/ong_Internationales</t>
  </si>
  <si>
    <t>point_eau_acteurs_locaux/leaders_communautaires</t>
  </si>
  <si>
    <t>point_eau_acteurs_locaux/chef_quartiers</t>
  </si>
  <si>
    <t>point_eau_acteurs_locaux/chef_village</t>
  </si>
  <si>
    <t>point_eau_acteurs_locaux/leaders_religieux</t>
  </si>
  <si>
    <t>point_eau_acteurs_locaux/aucun</t>
  </si>
  <si>
    <t>point_eau_acteurs_locaux/nsp</t>
  </si>
  <si>
    <t>point_eau_acteurs_locaux/autre</t>
  </si>
  <si>
    <t>point_eau_acteurs_locaux_autre</t>
  </si>
  <si>
    <t>point_eau_aide_fonctionnement</t>
  </si>
  <si>
    <t>point_eau_aide_fonctionnement_source</t>
  </si>
  <si>
    <t>point_eau_aide_fonctionnement_source/usagers</t>
  </si>
  <si>
    <t>point_eau_aide_fonctionnement_source/autorités</t>
  </si>
  <si>
    <t>point_eau_aide_fonctionnement_source/gouvernement</t>
  </si>
  <si>
    <t>point_eau_aide_fonctionnement_source/ong_locales</t>
  </si>
  <si>
    <t>point_eau_aide_fonctionnement_source/ong_internationales</t>
  </si>
  <si>
    <t>point_eau_aide_fonctionnement_source/nsp</t>
  </si>
  <si>
    <t>point_eau_aide_fonctionnement_source/autre</t>
  </si>
  <si>
    <t>point_eau_aide_fonctionnement_source_autre</t>
  </si>
  <si>
    <t>point_eau_aide_fonctionnement_type</t>
  </si>
  <si>
    <t>point_eau_aide_fonctionnement_type/subventions</t>
  </si>
  <si>
    <t>point_eau_aide_fonctionnement_type/dotation_materiaux</t>
  </si>
  <si>
    <t>point_eau_aide_fonctionnement_type/dotation_equipements</t>
  </si>
  <si>
    <t>point_eau_aide_fonctionnement_type/personnel</t>
  </si>
  <si>
    <t>point_eau_aide_fonctionnement_type/personnel_maintenance</t>
  </si>
  <si>
    <t>point_eau_aide_fonctionnement_type/rehab_bâtiments</t>
  </si>
  <si>
    <t>point_eau_aide_fonctionnement_type/rehab_equipements</t>
  </si>
  <si>
    <t>point_eau_aide_fonctionnement_type/construction</t>
  </si>
  <si>
    <t>point_eau_aide_fonctionnement_type/rehabilitation</t>
  </si>
  <si>
    <t>point_eau_aide_fonctionnement_type/sensibilisation</t>
  </si>
  <si>
    <t>point_eau_aide_fonctionnement_type/formation_gestion</t>
  </si>
  <si>
    <t>point_eau_aide_fonctionnement_type/nsp</t>
  </si>
  <si>
    <t>point_eau_aide_fonctionnement_type/autre</t>
  </si>
  <si>
    <t>point_eau_aide_fonctionnement_type_autre</t>
  </si>
  <si>
    <t>point_eau_aide_fonctionnement_satisfaction</t>
  </si>
  <si>
    <t>point_eau_aide_fonctionnement_insatisfaction_cause</t>
  </si>
  <si>
    <t>point_eau_aide_fonctionnement_insatisfaction_cause/insuffisant</t>
  </si>
  <si>
    <t>point_eau_aide_fonctionnement_insatisfaction_cause/inadapte</t>
  </si>
  <si>
    <t>point_eau_aide_fonctionnement_insatisfaction_cause/non_durable</t>
  </si>
  <si>
    <t>point_eau_aide_fonctionnement_insatisfaction_cause/corruption</t>
  </si>
  <si>
    <t>point_eau_aide_fonctionnement_insatisfaction_cause/autre</t>
  </si>
  <si>
    <t>point_eau_aide_fonctionnement_insatisfaction_cause_autre</t>
  </si>
  <si>
    <t>point_eau_amelioration</t>
  </si>
  <si>
    <t>point_eau_amelioration/subventions</t>
  </si>
  <si>
    <t>point_eau_amelioration/dotation_materiaux</t>
  </si>
  <si>
    <t>point_eau_amelioration/dotation_equipements</t>
  </si>
  <si>
    <t>point_eau_amelioration/personnel</t>
  </si>
  <si>
    <t>point_eau_amelioration/personnel_maintenance</t>
  </si>
  <si>
    <t>point_eau_amelioration/rehab_bâtiments</t>
  </si>
  <si>
    <t>point_eau_amelioration/rehab_equipements</t>
  </si>
  <si>
    <t>point_eau_amelioration/construction</t>
  </si>
  <si>
    <t>point_eau_amelioration/rehabilitation</t>
  </si>
  <si>
    <t>point_eau_amelioration/sensibilisation</t>
  </si>
  <si>
    <t>point_eau_amelioration/formation_gestion</t>
  </si>
  <si>
    <t>point_eau_amelioration/nsp</t>
  </si>
  <si>
    <t>point_eau_amelioration/autre</t>
  </si>
  <si>
    <t>point_eau_amelioration_autre</t>
  </si>
  <si>
    <t>latrines_gps</t>
  </si>
  <si>
    <t>latrines_type</t>
  </si>
  <si>
    <t>latrines_type_autre</t>
  </si>
  <si>
    <t>latrines_bati</t>
  </si>
  <si>
    <t>latrines_bati_autre</t>
  </si>
  <si>
    <t>latrines_fonctionnement</t>
  </si>
  <si>
    <t>latrines_fonctionnement_cause</t>
  </si>
  <si>
    <t>latrines_fonctionnement_cause/destruction</t>
  </si>
  <si>
    <t>latrines_fonctionnement_cause/non_fermees</t>
  </si>
  <si>
    <t>latrines_fonctionnement_cause/non_hygieniques</t>
  </si>
  <si>
    <t>latrines_fonctionnement_cause/saturees</t>
  </si>
  <si>
    <t>latrines_fonctionnement_cause/non_separees</t>
  </si>
  <si>
    <t>latrines_fonctionnement_cause/serpents</t>
  </si>
  <si>
    <t>latrines_fonctionnement_cause/degradation</t>
  </si>
  <si>
    <t>latrines_fonctionnement_cause/nsp</t>
  </si>
  <si>
    <t>latrines_fonctionnement_cause/autre</t>
  </si>
  <si>
    <t>latrines_fonctionnement_cause_autre</t>
  </si>
  <si>
    <t>latrines_saison_pluies</t>
  </si>
  <si>
    <t>latrines_genre</t>
  </si>
  <si>
    <t>latrines_hommes</t>
  </si>
  <si>
    <t>latrines_femmes</t>
  </si>
  <si>
    <t>latrines_verrou</t>
  </si>
  <si>
    <t>latrines_acces_nuit</t>
  </si>
  <si>
    <t>latrines_acces_nuit_cause</t>
  </si>
  <si>
    <t>latrines_acces_nuit_cause_autre</t>
  </si>
  <si>
    <t>latrines_lavage_mains</t>
  </si>
  <si>
    <t>latrines_utilisateurs</t>
  </si>
  <si>
    <t>latrines_attente</t>
  </si>
  <si>
    <t>latrines_provenance_utilisateurs</t>
  </si>
  <si>
    <t>latrines_provenance_utilisateurs_autre</t>
  </si>
  <si>
    <t>latrines_frequentation</t>
  </si>
  <si>
    <t>latrines_frequentation_evolution</t>
  </si>
  <si>
    <t>latrines_frequentation_augmentation</t>
  </si>
  <si>
    <t>latrines_frequentation_augmentation/latrines_detruites</t>
  </si>
  <si>
    <t>latrines_frequentation_augmentation/insecurite</t>
  </si>
  <si>
    <t>latrines_frequentation_augmentation/aug_population</t>
  </si>
  <si>
    <t>latrines_frequentation_augmentation/deplaces</t>
  </si>
  <si>
    <t>latrines_frequentation_augmentation/sensibilisation_eha</t>
  </si>
  <si>
    <t>latrines_frequentation_augmentation/rehab</t>
  </si>
  <si>
    <t>latrines_frequentation_augmentation/nsp</t>
  </si>
  <si>
    <t>latrines_frequentation_augmentation/autre</t>
  </si>
  <si>
    <t>latrines_frequentation_augmentation_autre</t>
  </si>
  <si>
    <t>latrines_frequentation_diminution</t>
  </si>
  <si>
    <t>latrines_frequentation_diminution/latrines_non_hygieniques</t>
  </si>
  <si>
    <t>latrines_frequentation_diminution/manque_maintenance</t>
  </si>
  <si>
    <t>latrines_frequentation_diminution/insecurite</t>
  </si>
  <si>
    <t>latrines_frequentation_diminution/diminution_population</t>
  </si>
  <si>
    <t>latrines_frequentation_diminution/latrines_privees</t>
  </si>
  <si>
    <t>latrines_frequentation_diminution/nsp</t>
  </si>
  <si>
    <t>latrines_frequentation_diminution/autre</t>
  </si>
  <si>
    <t>latrines_frequentation_diminution_autre</t>
  </si>
  <si>
    <t>latrines_construction</t>
  </si>
  <si>
    <t>latrines_construction/gvt</t>
  </si>
  <si>
    <t>latrines_construction/mairie</t>
  </si>
  <si>
    <t>latrines_construction/communaute</t>
  </si>
  <si>
    <t>latrines_construction/secteur_prive</t>
  </si>
  <si>
    <t>latrines_construction/ong_nationales</t>
  </si>
  <si>
    <t>latrines_construction/ong_internationales</t>
  </si>
  <si>
    <t>latrines_construction/organisation_religieuse</t>
  </si>
  <si>
    <t>latrines_construction/nsp</t>
  </si>
  <si>
    <t>latrines_construction/autre</t>
  </si>
  <si>
    <t>latrines_construction_autre</t>
  </si>
  <si>
    <t>latrines_payante</t>
  </si>
  <si>
    <t>latrines_payante_modalite</t>
  </si>
  <si>
    <t>latrines_payante_modalite_autre</t>
  </si>
  <si>
    <t>latrines_payante_prix</t>
  </si>
  <si>
    <t>latrines_prix_changement</t>
  </si>
  <si>
    <t>latrines_prix_evolution</t>
  </si>
  <si>
    <t>latrines_prix_augmentation</t>
  </si>
  <si>
    <t>latrines_prix_augmentation/prix_equipement</t>
  </si>
  <si>
    <t>latrines_prix_augmentation/prix_personnel</t>
  </si>
  <si>
    <t>latrines_prix_augmentation/prix_maintenance</t>
  </si>
  <si>
    <t>latrines_prix_augmentation/mode_gestion</t>
  </si>
  <si>
    <t>latrines_prix_augmentation/nsp</t>
  </si>
  <si>
    <t>latrines_prix_augmentation/autre</t>
  </si>
  <si>
    <t>latrines_prix_augmentation_autre</t>
  </si>
  <si>
    <t>latrines_prix_diminution</t>
  </si>
  <si>
    <t>latrines_prix_diminution/prix_equipement</t>
  </si>
  <si>
    <t>latrines_prix_diminution/prix_personnel</t>
  </si>
  <si>
    <t>latrines_prix_diminution/prix_maintenance</t>
  </si>
  <si>
    <t>latrines_prix_diminution/mode_gestion</t>
  </si>
  <si>
    <t>latrines_prix_diminution/nsp</t>
  </si>
  <si>
    <t>latrines_prix_diminution/autre</t>
  </si>
  <si>
    <t>latrines_prix_diminution_autre</t>
  </si>
  <si>
    <t>latrines_redevance</t>
  </si>
  <si>
    <t>latrines_redevance/constructeur</t>
  </si>
  <si>
    <t>latrines_redevance/mairie</t>
  </si>
  <si>
    <t>latrines_redevance/communaute</t>
  </si>
  <si>
    <t>latrines_redevance/gvt</t>
  </si>
  <si>
    <t>latrines_redevance/comite-gestion</t>
  </si>
  <si>
    <t>latrines_redevance/menage</t>
  </si>
  <si>
    <t>latrines_redevance/nsp</t>
  </si>
  <si>
    <t>latrines_redevance/autre</t>
  </si>
  <si>
    <t>latrines_redevance_autre</t>
  </si>
  <si>
    <t>latrines_sanctions</t>
  </si>
  <si>
    <t>latrines_sanctions_type</t>
  </si>
  <si>
    <t>latrines_sanctions_type/amende</t>
  </si>
  <si>
    <t>latrines_sanctions_type/fin_droits</t>
  </si>
  <si>
    <t>latrines_sanctions_type/fin_droits_indefinie</t>
  </si>
  <si>
    <t>latrines_sanctions_type/nsp</t>
  </si>
  <si>
    <t>latrines_sanctions_type/autre</t>
  </si>
  <si>
    <t>latrines_sanctions_type_autre</t>
  </si>
  <si>
    <t>latrines_fin_communautaire</t>
  </si>
  <si>
    <t>latrines_fin_communautaire/dons_argent</t>
  </si>
  <si>
    <t>latrines_fin_communautaire/dons_materiaux</t>
  </si>
  <si>
    <t>latrines_fin_communautaire/nsp</t>
  </si>
  <si>
    <t>latrines_fin_communautaire/autre</t>
  </si>
  <si>
    <t>latrines_fin_communautaire/aucun</t>
  </si>
  <si>
    <t>latrines_fin_communautaire_autre</t>
  </si>
  <si>
    <t>latrines_contraintes_gestion</t>
  </si>
  <si>
    <t>latrines_contraintes_gestion/financier</t>
  </si>
  <si>
    <t>latrines_contraintes_gestion/materiel</t>
  </si>
  <si>
    <t>latrines_contraintes_gestion/personnels_qualifies</t>
  </si>
  <si>
    <t>latrines_contraintes_gestion/insecurite</t>
  </si>
  <si>
    <t>latrines_contraintes_gestion/vols</t>
  </si>
  <si>
    <t>latrines_contraintes_gestion/pression</t>
  </si>
  <si>
    <t>latrines_contraintes_gestion/influences_politiques</t>
  </si>
  <si>
    <t>latrines_contraintes_gestion/mauvaise_qualite</t>
  </si>
  <si>
    <t>latrines_contraintes_gestion/finance_maintenance</t>
  </si>
  <si>
    <t>latrines_contraintes_gestion/aucun</t>
  </si>
  <si>
    <t>latrines_contraintes_gestion/nsp</t>
  </si>
  <si>
    <t>latrines_contraintes_gestion/autre</t>
  </si>
  <si>
    <t>latrines_contraintes_gestion_autre</t>
  </si>
  <si>
    <t>latrines_acteurs_locaux</t>
  </si>
  <si>
    <t>latrines_acteurs_locaux/mairie</t>
  </si>
  <si>
    <t>latrines_acteurs_locaux/gvt</t>
  </si>
  <si>
    <t>latrines_acteurs_locaux/ong_locales</t>
  </si>
  <si>
    <t>latrines_acteurs_locaux/ong_nationales</t>
  </si>
  <si>
    <t>latrines_acteurs_locaux/ong_Internationales</t>
  </si>
  <si>
    <t>latrines_acteurs_locaux/leaders_communautaires</t>
  </si>
  <si>
    <t>latrines_acteurs_locaux/chef_quartiers</t>
  </si>
  <si>
    <t>latrines_acteurs_locaux/chef_village</t>
  </si>
  <si>
    <t>latrines_acteurs_locaux/leaders_religieux</t>
  </si>
  <si>
    <t>latrines_acteurs_locaux/aucun</t>
  </si>
  <si>
    <t>latrines_acteurs_locaux/nsp</t>
  </si>
  <si>
    <t>latrines_acteurs_locaux/autre</t>
  </si>
  <si>
    <t>latrines_acteurs_locaux_autre</t>
  </si>
  <si>
    <t>latrines_aide_fonctionnement</t>
  </si>
  <si>
    <t>latrines_aide_fonctionnement_source</t>
  </si>
  <si>
    <t>latrines_aide_fonctionnement_source/usagers</t>
  </si>
  <si>
    <t>latrines_aide_fonctionnement_source/autorités</t>
  </si>
  <si>
    <t>latrines_aide_fonctionnement_source/gouvernement</t>
  </si>
  <si>
    <t>latrines_aide_fonctionnement_source/ong_locales</t>
  </si>
  <si>
    <t>latrines_aide_fonctionnement_source/ong_internationales</t>
  </si>
  <si>
    <t>latrines_aide_fonctionnement_source/nsp</t>
  </si>
  <si>
    <t>latrines_aide_fonctionnement_source/autre</t>
  </si>
  <si>
    <t>latrines_aide_fonctionnement_source_autre</t>
  </si>
  <si>
    <t>latrines_aide_fonctionnement_type</t>
  </si>
  <si>
    <t>latrines_aide_fonctionnement_type/subventions</t>
  </si>
  <si>
    <t>latrines_aide_fonctionnement_type/dotation_materiaux</t>
  </si>
  <si>
    <t>latrines_aide_fonctionnement_type/dotation_equipements</t>
  </si>
  <si>
    <t>latrines_aide_fonctionnement_type/personnel</t>
  </si>
  <si>
    <t>latrines_aide_fonctionnement_type/personnel_maintenance</t>
  </si>
  <si>
    <t>latrines_aide_fonctionnement_type/rehab_bâtiments</t>
  </si>
  <si>
    <t>latrines_aide_fonctionnement_type/rehab_equipements</t>
  </si>
  <si>
    <t>latrines_aide_fonctionnement_type/construction</t>
  </si>
  <si>
    <t>latrines_aide_fonctionnement_type/rehabilitation</t>
  </si>
  <si>
    <t>latrines_aide_fonctionnement_type/sensibilisation</t>
  </si>
  <si>
    <t>latrines_aide_fonctionnement_type/formation_gestion</t>
  </si>
  <si>
    <t>latrines_aide_fonctionnement_type/nsp</t>
  </si>
  <si>
    <t>latrines_aide_fonctionnement_type/autre</t>
  </si>
  <si>
    <t>latrines_aide_fonctionnement_type_autre</t>
  </si>
  <si>
    <t>latrines_aide_fonctionnement_satisfaction</t>
  </si>
  <si>
    <t>latrines_aide_fonctionnement_insatisfaction_cause</t>
  </si>
  <si>
    <t>latrines_aide_fonctionnement_insatisfaction_cause/insuffisant</t>
  </si>
  <si>
    <t>latrines_aide_fonctionnement_insatisfaction_cause/inadapte</t>
  </si>
  <si>
    <t>latrines_aide_fonctionnement_insatisfaction_cause/non_durable</t>
  </si>
  <si>
    <t>latrines_aide_fonctionnement_insatisfaction_cause/corruption</t>
  </si>
  <si>
    <t>latrines_aide_fonctionnement_insatisfaction_cause/autre</t>
  </si>
  <si>
    <t>latrines_aide_fonctionnement_insatisfaction_cause_autre</t>
  </si>
  <si>
    <t>latrines_amelioration</t>
  </si>
  <si>
    <t>latrines_amelioration/subventions</t>
  </si>
  <si>
    <t>latrines_amelioration/dotation_materiaux</t>
  </si>
  <si>
    <t>latrines_amelioration/dotation_equipements</t>
  </si>
  <si>
    <t>latrines_amelioration/personnel</t>
  </si>
  <si>
    <t>latrines_amelioration/personnel_maintenance</t>
  </si>
  <si>
    <t>latrines_amelioration/rehab_bâtiments</t>
  </si>
  <si>
    <t>latrines_amelioration/rehab_equipements</t>
  </si>
  <si>
    <t>latrines_amelioration/construction</t>
  </si>
  <si>
    <t>latrines_amelioration/rehabilitation</t>
  </si>
  <si>
    <t>latrines_amelioration/sensibilisation</t>
  </si>
  <si>
    <t>latrines_amelioration/formation_gestion</t>
  </si>
  <si>
    <t>latrines_amelioration/nsp</t>
  </si>
  <si>
    <t>latrines_amelioration/autre</t>
  </si>
  <si>
    <t>latrines_amelioration_autre</t>
  </si>
  <si>
    <t>sante_type</t>
  </si>
  <si>
    <t>sante_type_autre</t>
  </si>
  <si>
    <t>sante_fonctionnel</t>
  </si>
  <si>
    <t>sante_non_fonctionnel</t>
  </si>
  <si>
    <t>sante_non_fonctionnel/destruction</t>
  </si>
  <si>
    <t>sante_non_fonctionnel/pillages</t>
  </si>
  <si>
    <t>sante_non_fonctionnel/appro_elec_eau</t>
  </si>
  <si>
    <t>sante_non_fonctionnel/ressources_fin_equipement</t>
  </si>
  <si>
    <t>sante_non_fonctionnel/appro_medicaments</t>
  </si>
  <si>
    <t>sante_non_fonctionnel/population</t>
  </si>
  <si>
    <t>sante_non_fonctionnel/deplaces</t>
  </si>
  <si>
    <t>sante_non_fonctionnel/personnel</t>
  </si>
  <si>
    <t>sante_non_fonctionnel/ressources_fin</t>
  </si>
  <si>
    <t>sante_non_fonctionnel/insecurite</t>
  </si>
  <si>
    <t>sante_non_fonctionnel/nsp</t>
  </si>
  <si>
    <t>sante_non_fonctionnel/autre</t>
  </si>
  <si>
    <t>sante_non_fonctionnel_autre</t>
  </si>
  <si>
    <t>sante_latrines</t>
  </si>
  <si>
    <t>sante_latrines_nb</t>
  </si>
  <si>
    <t>sante_latrines_genre</t>
  </si>
  <si>
    <t>sante_latrines_hommes</t>
  </si>
  <si>
    <t>sante_latrines_femmes</t>
  </si>
  <si>
    <t>sante_latrines_patients</t>
  </si>
  <si>
    <t>sante_eau</t>
  </si>
  <si>
    <t>sante_eau_type</t>
  </si>
  <si>
    <t>sante_eau_type_autre</t>
  </si>
  <si>
    <t>sante_generateur</t>
  </si>
  <si>
    <t>sante_generateur_fonctionnel</t>
  </si>
  <si>
    <t>sante_generateur_heures</t>
  </si>
  <si>
    <t>sante_dommages</t>
  </si>
  <si>
    <t>sante_dommages_type</t>
  </si>
  <si>
    <t>sante_soins</t>
  </si>
  <si>
    <t>sante_soins/consult_curatives</t>
  </si>
  <si>
    <t>sante_soins/consult_prenatales</t>
  </si>
  <si>
    <t>sante_soins/accouchement</t>
  </si>
  <si>
    <t>sante_soins/mas</t>
  </si>
  <si>
    <t>sante_soins/violences_sexuelles</t>
  </si>
  <si>
    <t>sante_soins/maladies_infectieuses</t>
  </si>
  <si>
    <t>sante_soins/urgences_vitales</t>
  </si>
  <si>
    <t>sante_soins/chirurgie</t>
  </si>
  <si>
    <t>sante_soins/cesarienne</t>
  </si>
  <si>
    <t>sante_soins/pediatrie</t>
  </si>
  <si>
    <t>sante_soins/maternite</t>
  </si>
  <si>
    <t>sante_soins/soins_intensifs</t>
  </si>
  <si>
    <t>sante_soins/autre</t>
  </si>
  <si>
    <t>sante_soins_autre</t>
  </si>
  <si>
    <t>sante_vaccination</t>
  </si>
  <si>
    <t>sante_vaccination_type</t>
  </si>
  <si>
    <t>sante_vaccination_type/preval</t>
  </si>
  <si>
    <t>sante_vaccination_type/rougeole</t>
  </si>
  <si>
    <t>sante_vaccination_type/nsp</t>
  </si>
  <si>
    <t>sante_vaccination_type/autre</t>
  </si>
  <si>
    <t>sante_vaccination_type_autre</t>
  </si>
  <si>
    <t>sante_appui_psycho</t>
  </si>
  <si>
    <t>sante_appui_psycho_type</t>
  </si>
  <si>
    <t>sante_appui_psycho_type/psy_qualifie</t>
  </si>
  <si>
    <t>sante_appui_psycho_type/communaute</t>
  </si>
  <si>
    <t>sante_appui_psycho_type/ong</t>
  </si>
  <si>
    <t>sante_appui_psycho_type/nsp</t>
  </si>
  <si>
    <t>sante_appui_psycho_type/autre</t>
  </si>
  <si>
    <t>sante_appui_psycho_type_autre</t>
  </si>
  <si>
    <t>sante_patients_nb</t>
  </si>
  <si>
    <t>sante_patients_nb_changement</t>
  </si>
  <si>
    <t>sante_patients_evolution</t>
  </si>
  <si>
    <t>sante_patients_augmentation</t>
  </si>
  <si>
    <t>sante_patients_augmentation/population</t>
  </si>
  <si>
    <t>sante_patients_augmentation/deplaces</t>
  </si>
  <si>
    <t>sante_patients_augmentation/fermeture_structures_voisines</t>
  </si>
  <si>
    <t>sante_patients_augmentation/nouveaux_pbs</t>
  </si>
  <si>
    <t>sante_patients_augmentation/nouveaux_soins</t>
  </si>
  <si>
    <t>sante_patients_augmentation/renforcement_humanitaire</t>
  </si>
  <si>
    <t>sante_patients_augmentation/renforcement_gvt</t>
  </si>
  <si>
    <t>sante_patients_augmentation/reference_ong</t>
  </si>
  <si>
    <t>sante_patients_augmentation/nsp</t>
  </si>
  <si>
    <t>sante_patients_augmentation/autre</t>
  </si>
  <si>
    <t>sante_patients_augmentation_autre</t>
  </si>
  <si>
    <t>sante_patients_diminution</t>
  </si>
  <si>
    <t>sante_patients_diminution/fermeture_insecurite</t>
  </si>
  <si>
    <t>sante_patients_diminution/degradation_insecu</t>
  </si>
  <si>
    <t>sante_patients_diminution/degradation_ressources_fin</t>
  </si>
  <si>
    <t>sante_patients_diminution/population</t>
  </si>
  <si>
    <t>sante_patients_diminution/concurrence_ong</t>
  </si>
  <si>
    <t>sante_patients_diminution/nsp</t>
  </si>
  <si>
    <t>sante_patients_diminution/autre</t>
  </si>
  <si>
    <t>sante_patients_diminution_autre</t>
  </si>
  <si>
    <t>sante_service_saturation</t>
  </si>
  <si>
    <t>sante_travailleurs_nb</t>
  </si>
  <si>
    <t>sante_medecins_nb</t>
  </si>
  <si>
    <t>sante_infirmiers_nb</t>
  </si>
  <si>
    <t>sante_aides_soignants_nb</t>
  </si>
  <si>
    <t>sante_accoucheuses_nb</t>
  </si>
  <si>
    <t>sante_paramedical_nb</t>
  </si>
  <si>
    <t>sante_agents_communautaires_nb</t>
  </si>
  <si>
    <t>sante_support_nb</t>
  </si>
  <si>
    <t>sante_construction</t>
  </si>
  <si>
    <t>sante_construction/gvt</t>
  </si>
  <si>
    <t>sante_construction/mairie</t>
  </si>
  <si>
    <t>sante_construction/communaute</t>
  </si>
  <si>
    <t>sante_construction/secteur_prive</t>
  </si>
  <si>
    <t>sante_construction/ong_nationales</t>
  </si>
  <si>
    <t>sante_construction/ong_internationales</t>
  </si>
  <si>
    <t>sante_construction/organisation_religieuse</t>
  </si>
  <si>
    <t>sante_construction/nsp</t>
  </si>
  <si>
    <t>sante_construction/autre</t>
  </si>
  <si>
    <t>sante_construction_autre</t>
  </si>
  <si>
    <t>sante_payante</t>
  </si>
  <si>
    <t>sante_payante_exception</t>
  </si>
  <si>
    <t>sante_payante_exception/enfants</t>
  </si>
  <si>
    <t>sante_payante_exception/femme_enceinte</t>
  </si>
  <si>
    <t>sante_payante_exception/urgence</t>
  </si>
  <si>
    <t>sante_payante_exception/autre</t>
  </si>
  <si>
    <t>sante_payante_exception_urgence</t>
  </si>
  <si>
    <t>sante_payante_exception_autre</t>
  </si>
  <si>
    <t>sante_prix_changement</t>
  </si>
  <si>
    <t>sante_prix_evolution</t>
  </si>
  <si>
    <t>sante_prix_augmentation</t>
  </si>
  <si>
    <t>sante_prix_augmentation/loyer</t>
  </si>
  <si>
    <t>sante_prix_augmentation/equipements</t>
  </si>
  <si>
    <t>sante_prix_augmentation/baisse_subventions</t>
  </si>
  <si>
    <t>sante_prix_augmentation/salaires</t>
  </si>
  <si>
    <t>sante_prix_augmentation/prix_medicaments</t>
  </si>
  <si>
    <t>sante_prix_augmentation/pillages</t>
  </si>
  <si>
    <t>sante_prix_augmentation/nsp</t>
  </si>
  <si>
    <t>sante_prix_augmentation/autre</t>
  </si>
  <si>
    <t>sante_prix_augmentation_autre</t>
  </si>
  <si>
    <t>sante_prix_diminution</t>
  </si>
  <si>
    <t>sante_prix_diminution/loyer</t>
  </si>
  <si>
    <t>sante_prix_diminution/equipements</t>
  </si>
  <si>
    <t>sante_prix_diminution/aide_exterieures</t>
  </si>
  <si>
    <t>sante_prix_diminution/subventions</t>
  </si>
  <si>
    <t>sante_prix_diminution/prix_medicaments</t>
  </si>
  <si>
    <t>sante_prix_diminution/appui_communaute</t>
  </si>
  <si>
    <t>sante_prix_diminution/nsp</t>
  </si>
  <si>
    <t>sante_prix_diminution/autre</t>
  </si>
  <si>
    <t>sante_prix_diminution_autre</t>
  </si>
  <si>
    <t>sante_fin_communautaire</t>
  </si>
  <si>
    <t>sante_fin_communautaire/dons_argent</t>
  </si>
  <si>
    <t>sante_fin_communautaire/dons_materiaux</t>
  </si>
  <si>
    <t>sante_fin_communautaire/nsp</t>
  </si>
  <si>
    <t>sante_fin_communautaire/autre</t>
  </si>
  <si>
    <t>sante_fin_communautaire/aucun</t>
  </si>
  <si>
    <t>sante_fin_communautaire_autre</t>
  </si>
  <si>
    <t>sante_mode_gestion</t>
  </si>
  <si>
    <t>sante_mode_gestion_autre</t>
  </si>
  <si>
    <t>sante_coges</t>
  </si>
  <si>
    <t>sante_contraintes_gestion</t>
  </si>
  <si>
    <t>sante_contraintes_gestion/ressources_fin</t>
  </si>
  <si>
    <t>sante_contraintes_gestion/decentralisation_salaires</t>
  </si>
  <si>
    <t>sante_contraintes_gestion/medicaments_nb</t>
  </si>
  <si>
    <t>sante_contraintes_gestion/medicaments_qualite</t>
  </si>
  <si>
    <t>sante_contraintes_gestion/medicaments_rue</t>
  </si>
  <si>
    <t>sante_contraintes_gestion/equipements</t>
  </si>
  <si>
    <t>sante_contraintes_gestion/personnels</t>
  </si>
  <si>
    <t>sante_contraintes_gestion/communication</t>
  </si>
  <si>
    <t>sante_contraintes_gestion/insecurite</t>
  </si>
  <si>
    <t>sante_contraintes_gestion/vols</t>
  </si>
  <si>
    <t>sante_contraintes_gestion/sur_utilisation</t>
  </si>
  <si>
    <t>sante_contraintes_gestion/information</t>
  </si>
  <si>
    <t>sante_contraintes_gestion/influences_politiques</t>
  </si>
  <si>
    <t>sante_contraintes_gestion/aucun</t>
  </si>
  <si>
    <t>sante_contraintes_gestion/nsp</t>
  </si>
  <si>
    <t>sante_contraintes_gestion/autre</t>
  </si>
  <si>
    <t>sante_contraintes_gestion_autre</t>
  </si>
  <si>
    <t>sante_acteurs_locaux</t>
  </si>
  <si>
    <t>sante_acteurs_locaux/mairie</t>
  </si>
  <si>
    <t>sante_acteurs_locaux/gvt</t>
  </si>
  <si>
    <t>sante_acteurs_locaux/ong_locales</t>
  </si>
  <si>
    <t>sante_acteurs_locaux/ong_nationales</t>
  </si>
  <si>
    <t>sante_acteurs_locaux/ong_Internationales</t>
  </si>
  <si>
    <t>sante_acteurs_locaux/leaders_communautaires</t>
  </si>
  <si>
    <t>sante_acteurs_locaux/chef_quartiers</t>
  </si>
  <si>
    <t>sante_acteurs_locaux/chef_village</t>
  </si>
  <si>
    <t>sante_acteurs_locaux/leaders_religieux</t>
  </si>
  <si>
    <t>sante_acteurs_locaux/aucun</t>
  </si>
  <si>
    <t>sante_acteurs_locaux/nsp</t>
  </si>
  <si>
    <t>sante_acteurs_locaux/autre</t>
  </si>
  <si>
    <t>sante_acteurs_locaux_autre</t>
  </si>
  <si>
    <t>sante_aide_fonctionnement</t>
  </si>
  <si>
    <t>sante_aide_fonctionnement_source</t>
  </si>
  <si>
    <t>sante_aide_fonctionnement_source/usagers</t>
  </si>
  <si>
    <t>sante_aide_fonctionnement_source/autorités</t>
  </si>
  <si>
    <t>sante_aide_fonctionnement_source/gouvernement</t>
  </si>
  <si>
    <t>sante_aide_fonctionnement_source/ong_locales</t>
  </si>
  <si>
    <t>sante_aide_fonctionnement_source/ong_internationales</t>
  </si>
  <si>
    <t>sante_aide_fonctionnement_source/nsp</t>
  </si>
  <si>
    <t>sante_aide_fonctionnement_source/autre</t>
  </si>
  <si>
    <t>sante_aide_fonctionnement_source_autre</t>
  </si>
  <si>
    <t>sante_aide_fonctionnement_type</t>
  </si>
  <si>
    <t>sante_aide_fonctionnement_type/subventions</t>
  </si>
  <si>
    <t>sante_aide_fonctionnement_type/dotation_materiaux</t>
  </si>
  <si>
    <t>sante_aide_fonctionnement_type/dotation_equipements</t>
  </si>
  <si>
    <t>sante_aide_fonctionnement_type/personnel</t>
  </si>
  <si>
    <t>sante_aide_fonctionnement_type/personnel_maintenance</t>
  </si>
  <si>
    <t>sante_aide_fonctionnement_type/rehab_bâtiments</t>
  </si>
  <si>
    <t>sante_aide_fonctionnement_type/rehab_equipements</t>
  </si>
  <si>
    <t>sante_aide_fonctionnement_type/construction</t>
  </si>
  <si>
    <t>sante_aide_fonctionnement_type/rehabilitation</t>
  </si>
  <si>
    <t>sante_aide_fonctionnement_type/sensibilisation</t>
  </si>
  <si>
    <t>sante_aide_fonctionnement_type/formation_gestion</t>
  </si>
  <si>
    <t>sante_aide_fonctionnement_type/nsp</t>
  </si>
  <si>
    <t>sante_aide_fonctionnement_type/autre</t>
  </si>
  <si>
    <t>sante_aide_fonctionnement_type_autre</t>
  </si>
  <si>
    <t>sante_aide_fonctionnement_satisfaction</t>
  </si>
  <si>
    <t>sante_aide_fonctionnement_insatisfaction_cause</t>
  </si>
  <si>
    <t>sante_aide_fonctionnement_insatisfaction_cause/insuffisant</t>
  </si>
  <si>
    <t>sante_aide_fonctionnement_insatisfaction_cause/inadapte</t>
  </si>
  <si>
    <t>sante_aide_fonctionnement_insatisfaction_cause/non_durable</t>
  </si>
  <si>
    <t>sante_aide_fonctionnement_insatisfaction_cause/corruption</t>
  </si>
  <si>
    <t>sante_aide_fonctionnement_insatisfaction_cause/autre</t>
  </si>
  <si>
    <t>sante_aide_fonctionnement_insatisfaction_cause_autre</t>
  </si>
  <si>
    <t>sante_amelioration</t>
  </si>
  <si>
    <t>sante_amelioration/subventions</t>
  </si>
  <si>
    <t>sante_amelioration/dotation_materiaux</t>
  </si>
  <si>
    <t>sante_amelioration/rehabilitation</t>
  </si>
  <si>
    <t>sante_amelioration/medicaments</t>
  </si>
  <si>
    <t>sante_amelioration/personnel</t>
  </si>
  <si>
    <t>sante_amelioration/dotation_equipements_medicaux</t>
  </si>
  <si>
    <t>sante_amelioration/dotation_equipements_maintenance</t>
  </si>
  <si>
    <t>sante_amelioration/formations_techniques</t>
  </si>
  <si>
    <t>sante_amelioration/formations_gestion</t>
  </si>
  <si>
    <t>sante_amelioration/supervision_rs</t>
  </si>
  <si>
    <t>sante_amelioration/supervision_district</t>
  </si>
  <si>
    <t>sante_amelioration/nsp</t>
  </si>
  <si>
    <t>sante_amelioration/autre</t>
  </si>
  <si>
    <t>sante_amelioration_autre</t>
  </si>
  <si>
    <t>note_covid</t>
  </si>
  <si>
    <t>covid_infos</t>
  </si>
  <si>
    <t>covid_infos_type</t>
  </si>
  <si>
    <t>covid_infos_type/symptomes</t>
  </si>
  <si>
    <t>covid_infos_type/transmission</t>
  </si>
  <si>
    <t>covid_infos_type/mesures_gvt</t>
  </si>
  <si>
    <t>covid_infos_type/msg_sensibilisation</t>
  </si>
  <si>
    <t>covid_infos_type/mesures_preventions</t>
  </si>
  <si>
    <t>covid_infos_type/nb_cas</t>
  </si>
  <si>
    <t>covid_infos_type/nsp</t>
  </si>
  <si>
    <t>covid_infos_type/autre</t>
  </si>
  <si>
    <t>covid_infos_type_autre</t>
  </si>
  <si>
    <t>covid_plan_alerte</t>
  </si>
  <si>
    <t>covid_plan_reponse</t>
  </si>
  <si>
    <t>covid_capacite_reponse</t>
  </si>
  <si>
    <t>covid_sensibilisation</t>
  </si>
  <si>
    <t>covid_sensibilisation_type</t>
  </si>
  <si>
    <t>covid_sensibilisation_type/symptomes</t>
  </si>
  <si>
    <t>covid_sensibilisation_type/propagation</t>
  </si>
  <si>
    <t>covid_sensibilisation_type/lavage_mains</t>
  </si>
  <si>
    <t>covid_sensibilisation_type/distanciations</t>
  </si>
  <si>
    <t>covid_sensibilisation_type/masque</t>
  </si>
  <si>
    <t>covid_sensibilisation_type/rassemblement</t>
  </si>
  <si>
    <t>covid_sensibilisation_type/traitement</t>
  </si>
  <si>
    <t>covid_sensibilisation_type/autre</t>
  </si>
  <si>
    <t>covid_sensibilisation_type_autre</t>
  </si>
  <si>
    <t>covid_sensibilisation_aide</t>
  </si>
  <si>
    <t>covid_sensibilisation_aide_source</t>
  </si>
  <si>
    <t>covid_sensibilisation_aide_source/gvt</t>
  </si>
  <si>
    <t>covid_sensibilisation_aide_source/ong_nat</t>
  </si>
  <si>
    <t>covid_sensibilisation_aide_source/ong_international</t>
  </si>
  <si>
    <t>covid_sensibilisation_aide_source/onu</t>
  </si>
  <si>
    <t>covid_sensibilisation_aide_source/autre</t>
  </si>
  <si>
    <t>covid_sensibilisation_aide_source_autre</t>
  </si>
  <si>
    <t>covid_pharmacie</t>
  </si>
  <si>
    <t>covid_pharmacie_paracetamol</t>
  </si>
  <si>
    <t>covid_ambulance</t>
  </si>
  <si>
    <t>covid_ambulance_essence</t>
  </si>
  <si>
    <t>covid_perfusion</t>
  </si>
  <si>
    <t>covid_gants</t>
  </si>
  <si>
    <t>covid_gants_stocks</t>
  </si>
  <si>
    <t>covid_eau_chlore</t>
  </si>
  <si>
    <t>covid_thermometres</t>
  </si>
  <si>
    <t>covid_thermometres_nb</t>
  </si>
  <si>
    <t>covid_espace_quarantaine</t>
  </si>
  <si>
    <t>covid_espace_quarantaine_nb</t>
  </si>
  <si>
    <t>ecoles_statut</t>
  </si>
  <si>
    <t>ecoles_statut_autre</t>
  </si>
  <si>
    <t>ecoles_type</t>
  </si>
  <si>
    <t>ecoles_type_autre</t>
  </si>
  <si>
    <t>ecoles_grade</t>
  </si>
  <si>
    <t>ecoles_grade/f1</t>
  </si>
  <si>
    <t>ecoles_grade/f2</t>
  </si>
  <si>
    <t>ecoles_grade/etp</t>
  </si>
  <si>
    <t>ecoles_grade/coranique</t>
  </si>
  <si>
    <t>ecoles_grade/autre</t>
  </si>
  <si>
    <t>ecoles_grade_autre</t>
  </si>
  <si>
    <t>ecoles_construction</t>
  </si>
  <si>
    <t>ecoles_construction/gvt</t>
  </si>
  <si>
    <t>ecoles_construction/mairie</t>
  </si>
  <si>
    <t>ecoles_construction/communaute</t>
  </si>
  <si>
    <t>ecoles_construction/secteur_prive</t>
  </si>
  <si>
    <t>ecoles_construction/ong_nationales</t>
  </si>
  <si>
    <t>ecoles_construction/ong_internationales</t>
  </si>
  <si>
    <t>ecoles_construction/organisation_religieuse</t>
  </si>
  <si>
    <t>ecoles_construction/nsp</t>
  </si>
  <si>
    <t>ecoles_construction/autre</t>
  </si>
  <si>
    <t>ecoles_construction_autre</t>
  </si>
  <si>
    <t>ecoles_dommages_materiels_cause</t>
  </si>
  <si>
    <t>ecoles_dommages_materiels_cause/moyens_entretien</t>
  </si>
  <si>
    <t>ecoles_dommages_materiels_cause/saison_pluies</t>
  </si>
  <si>
    <t>ecoles_dommages_materiels_cause/ga</t>
  </si>
  <si>
    <t>ecoles_dommages_materiels_cause/incendie</t>
  </si>
  <si>
    <t>ecoles_dommages_materiels_cause/vandalisme</t>
  </si>
  <si>
    <t>ecoles_dommages_materiels_cause/autre</t>
  </si>
  <si>
    <t>ecoles_dommages_materiels_cause/nsp</t>
  </si>
  <si>
    <t>ecoles_dommages_materiels_cause_autre</t>
  </si>
  <si>
    <t>ecoles_salles</t>
  </si>
  <si>
    <t>ecoles_latrines</t>
  </si>
  <si>
    <t>ecoles_latrines_nb</t>
  </si>
  <si>
    <t>ecoles_latrines_genre</t>
  </si>
  <si>
    <t>ecoles_latrines_filles</t>
  </si>
  <si>
    <t>difference_latrines</t>
  </si>
  <si>
    <t>ecoles_latrines_garcons</t>
  </si>
  <si>
    <t>total_latrines</t>
  </si>
  <si>
    <t>totale_latrines_note</t>
  </si>
  <si>
    <t>ecoles_latrines_personnel</t>
  </si>
  <si>
    <t>ecoles_eau</t>
  </si>
  <si>
    <t>ecoles_eau_type</t>
  </si>
  <si>
    <t>ecoles_eau_type_autre</t>
  </si>
  <si>
    <t>ecoles_frais</t>
  </si>
  <si>
    <t>ecoles_effectifs_total</t>
  </si>
  <si>
    <t>ecoles_effectifs_filles</t>
  </si>
  <si>
    <t>difference_effectifs</t>
  </si>
  <si>
    <t>ecoles_effectifs_garcons</t>
  </si>
  <si>
    <t>total_effectifs</t>
  </si>
  <si>
    <t>total_effectifs_note</t>
  </si>
  <si>
    <t>ecoles_age_min</t>
  </si>
  <si>
    <t>ecoles_age_max</t>
  </si>
  <si>
    <t>ecoles_effectifs_changement</t>
  </si>
  <si>
    <t>ecoles_effectifs_evolution</t>
  </si>
  <si>
    <t>ecoles_effectifs_augmentation</t>
  </si>
  <si>
    <t>ecoles_effectifs_augmentation/aug_population</t>
  </si>
  <si>
    <t>ecoles_effectifs_augmentation/deplces</t>
  </si>
  <si>
    <t>ecoles_effectifs_augmentation/rehabilitation_ecole</t>
  </si>
  <si>
    <t>ecoles_effectifs_augmentation/securite</t>
  </si>
  <si>
    <t>ecoles_effectifs_augmentation/nsp</t>
  </si>
  <si>
    <t>ecoles_effectifs_augmentation/autre</t>
  </si>
  <si>
    <t>ecoles_effectifs_augmentation_autre</t>
  </si>
  <si>
    <t>ecoles_effectifs_diminution</t>
  </si>
  <si>
    <t>ecoles_effectifs_diminution/diminution_population</t>
  </si>
  <si>
    <t>ecoles_effectifs_diminution/rehabilitation_ecoles_zone</t>
  </si>
  <si>
    <t>ecoles_effectifs_diminution/appauvrissement</t>
  </si>
  <si>
    <t>ecoles_effectifs_diminution/exploitation_miniere</t>
  </si>
  <si>
    <t>ecoles_effectifs_diminution/enrolement</t>
  </si>
  <si>
    <t>ecoles_effectifs_diminution/nsp</t>
  </si>
  <si>
    <t>ecoles_effectifs_diminution/autre</t>
  </si>
  <si>
    <t>ecoles_effectifs_diminution_autre</t>
  </si>
  <si>
    <t>ecoles_titulaires_nb</t>
  </si>
  <si>
    <t>ecoles_titulaires_femmes</t>
  </si>
  <si>
    <t>difference_titulaires</t>
  </si>
  <si>
    <t>ecoles_titulaires_hommes</t>
  </si>
  <si>
    <t>total_titulaires</t>
  </si>
  <si>
    <t>total_titulaires_note</t>
  </si>
  <si>
    <t>ecoles_titulaires_changement</t>
  </si>
  <si>
    <t>ecoles_titulaires_evolution</t>
  </si>
  <si>
    <t>ecoles_titulaires_augmentation</t>
  </si>
  <si>
    <t>ecoles_titulaires_augmentation/effectifs_eleves</t>
  </si>
  <si>
    <t>ecoles_titulaires_augmentation/fermetures_ecoles_voisines</t>
  </si>
  <si>
    <t>ecoles_titulaires_augmentation/securite</t>
  </si>
  <si>
    <t>ecoles_titulaires_augmentation/nsp</t>
  </si>
  <si>
    <t>ecoles_titulaires_augmentation/autre</t>
  </si>
  <si>
    <t>ecoles_titulaires_augmentation_autre</t>
  </si>
  <si>
    <t>ecoles_titulaires_diminution</t>
  </si>
  <si>
    <t>ecoles_titulaires_diminution/fuite_enseignants</t>
  </si>
  <si>
    <t>ecoles_titulaires_diminution/conditions_travail</t>
  </si>
  <si>
    <t>ecoles_titulaires_diminution/peur_enseignants</t>
  </si>
  <si>
    <t>ecoles_titulaires_diminution/moins_titulaires</t>
  </si>
  <si>
    <t>ecoles_titulaires_diminution/nsp</t>
  </si>
  <si>
    <t>ecoles_titulaires_diminution/autre</t>
  </si>
  <si>
    <t>ecoles_titulaires_diminution_autre</t>
  </si>
  <si>
    <t>ecoles_vacataires_nb</t>
  </si>
  <si>
    <t>ecoles_vacataires_femmes</t>
  </si>
  <si>
    <t>difference_vacataires</t>
  </si>
  <si>
    <t>ecoles_vacataires_hommes</t>
  </si>
  <si>
    <t>total_vacataires</t>
  </si>
  <si>
    <t>total_vacataires_note</t>
  </si>
  <si>
    <t>ecoles_vacataires_changement</t>
  </si>
  <si>
    <t>ecoles_vacataires_evolution</t>
  </si>
  <si>
    <t>ecoles_vacataires_augmentation</t>
  </si>
  <si>
    <t>ecoles_vacataires_augmentation/plus_diplomes</t>
  </si>
  <si>
    <t>ecoles_vacataires_augmentation/fermeture_ecoles_voisines</t>
  </si>
  <si>
    <t>ecoles_vacataires_augmentation/securite</t>
  </si>
  <si>
    <t>ecoles_vacataires_augmentation/nsp</t>
  </si>
  <si>
    <t>ecoles_vacataires_augmentation/autre</t>
  </si>
  <si>
    <t>ecoles_vacataires_augmentation_autre</t>
  </si>
  <si>
    <t>ecoles_vacataires_diminution</t>
  </si>
  <si>
    <t>ecoles_vacataires_diminution/fuite_enseignants</t>
  </si>
  <si>
    <t>ecoles_vacataires_diminution/conditions_travail</t>
  </si>
  <si>
    <t>ecoles_vacataires_diminution/peur_enseignants</t>
  </si>
  <si>
    <t>ecoles_vacataires_diminution/moins_diplomes</t>
  </si>
  <si>
    <t>ecoles_vacataires_diminution/nsp</t>
  </si>
  <si>
    <t>ecoles_vacataires_diminution/autre</t>
  </si>
  <si>
    <t>ecoles_vacataires_diminution_autre</t>
  </si>
  <si>
    <t>ecoles_mp_nb</t>
  </si>
  <si>
    <t>ecoles_mp_femmes</t>
  </si>
  <si>
    <t>difference_mp</t>
  </si>
  <si>
    <t>ecoles_mp_hommes</t>
  </si>
  <si>
    <t>total_mp</t>
  </si>
  <si>
    <t>total_mp_note</t>
  </si>
  <si>
    <t>ecoles_mp_changement</t>
  </si>
  <si>
    <t>ecoles_mp_evolution</t>
  </si>
  <si>
    <t>ecoles_mp_augmentation</t>
  </si>
  <si>
    <t>ecoles_mp_augmentation/moins_diplomes</t>
  </si>
  <si>
    <t>ecoles_mp_augmentation/aug_effectifs</t>
  </si>
  <si>
    <t>ecoles_mp_augmentation/fermeture_ecoles_voisines</t>
  </si>
  <si>
    <t>ecoles_mp_augmentation/nsp</t>
  </si>
  <si>
    <t>ecoles_mp_augmentation/autre</t>
  </si>
  <si>
    <t>ecoles_mp_augmentation_autre</t>
  </si>
  <si>
    <t>ecoles_mp_diminution</t>
  </si>
  <si>
    <t>ecoles_mp_diminution/decouragement</t>
  </si>
  <si>
    <t>ecoles_mp_diminution/fuite</t>
  </si>
  <si>
    <t>ecoles_mp_diminution/remplacement</t>
  </si>
  <si>
    <t>ecoles_mp_diminution/nsp</t>
  </si>
  <si>
    <t>ecoles_mp_diminution/autre</t>
  </si>
  <si>
    <t>ecoles_mp_diminution_autre</t>
  </si>
  <si>
    <t>ecoles_formation_enseignants</t>
  </si>
  <si>
    <t>ecoles_formation_mp</t>
  </si>
  <si>
    <t>ecoles_payante</t>
  </si>
  <si>
    <t>ecoles_payante_prix</t>
  </si>
  <si>
    <t>ecoles_frais_finalite</t>
  </si>
  <si>
    <t>ecoles_frais_finalite/salaires</t>
  </si>
  <si>
    <t>ecoles_frais_finalite/achat_materiel</t>
  </si>
  <si>
    <t>ecoles_frais_finalite/rehabilitation_infra</t>
  </si>
  <si>
    <t>ecoles_frais_finalite/activites_recreatives</t>
  </si>
  <si>
    <t>ecoles_frais_finalite/nsp</t>
  </si>
  <si>
    <t>ecoles_frais_finalite/autre</t>
  </si>
  <si>
    <t>ecoles_frais_finalite_autre</t>
  </si>
  <si>
    <t>ecoles_frais_changement</t>
  </si>
  <si>
    <t>ecoles_frais_evolution</t>
  </si>
  <si>
    <t>ecoles_frais_augmentation</t>
  </si>
  <si>
    <t>ecoles_frais_augmentation/cout_materiel</t>
  </si>
  <si>
    <t>ecoles_frais_augmentation/pillage_materiel</t>
  </si>
  <si>
    <t>ecoles_frais_augmentation/salaires</t>
  </si>
  <si>
    <t>ecoles_frais_augmentation/nb_professeurs</t>
  </si>
  <si>
    <t>ecoles_frais_augmentation/services_parascolaires</t>
  </si>
  <si>
    <t>ecoles_frais_augmentation/privatisation</t>
  </si>
  <si>
    <t>ecoles_frais_augmentation/nsp</t>
  </si>
  <si>
    <t>ecoles_frais_augmentation/autre</t>
  </si>
  <si>
    <t>ecoles_frais_augmentation_autre</t>
  </si>
  <si>
    <t>ecoles_frais_diminution</t>
  </si>
  <si>
    <t>ecoles_frais_diminution/cout_materiel</t>
  </si>
  <si>
    <t>ecoles_frais_diminution/impossibilite_paiement</t>
  </si>
  <si>
    <t>ecoles_frais_diminution/diminution_enseignants</t>
  </si>
  <si>
    <t>ecoles_frais_diminution/prise_en_charge_ape</t>
  </si>
  <si>
    <t>ecoles_frais_diminution/aide_etat</t>
  </si>
  <si>
    <t>ecoles_frais_diminution/aide_ong</t>
  </si>
  <si>
    <t>ecoles_frais_diminution/volonte_politique</t>
  </si>
  <si>
    <t>ecoles_frais_diminution/nsp</t>
  </si>
  <si>
    <t>ecoles_frais_diminution/autre</t>
  </si>
  <si>
    <t>ecoles_frais_diminution_autre</t>
  </si>
  <si>
    <t>ecoles_fin_communautaire</t>
  </si>
  <si>
    <t>ecoles_fin_communautaire/dons_argent</t>
  </si>
  <si>
    <t>ecoles_fin_communautaire/dons_materiaux</t>
  </si>
  <si>
    <t>ecoles_fin_communautaire/nsp</t>
  </si>
  <si>
    <t>ecoles_fin_communautaire/autre</t>
  </si>
  <si>
    <t>ecoles_fin_communautaire/aucun</t>
  </si>
  <si>
    <t>ecoles_fin_communautaire_autre</t>
  </si>
  <si>
    <t>ecoles_contraintes_gestion</t>
  </si>
  <si>
    <t>ecoles_contraintes_gestion/ressources_fin</t>
  </si>
  <si>
    <t>ecoles_contraintes_gestion/materiel</t>
  </si>
  <si>
    <t>ecoles_contraintes_gestion/equipement</t>
  </si>
  <si>
    <t>ecoles_contraintes_gestion/professeurs_qualifies</t>
  </si>
  <si>
    <t>ecoles_contraintes_gestion/insecurite</t>
  </si>
  <si>
    <t>ecoles_contraintes_gestion/vols</t>
  </si>
  <si>
    <t>ecoles_contraintes_gestion/sur_utilisation</t>
  </si>
  <si>
    <t>ecoles_contraintes_gestion/influences_politiques</t>
  </si>
  <si>
    <t>ecoles_contraintes_gestion/aucun</t>
  </si>
  <si>
    <t>ecoles_contraintes_gestion/nsp</t>
  </si>
  <si>
    <t>ecoles_contraintes_gestion/autre</t>
  </si>
  <si>
    <t>ecoles_contraintes_gestion_autre</t>
  </si>
  <si>
    <t>ecoles_acteurs_locaux</t>
  </si>
  <si>
    <t>ecoles_acteurs_locaux/mairie</t>
  </si>
  <si>
    <t>ecoles_acteurs_locaux/gvt</t>
  </si>
  <si>
    <t>ecoles_acteurs_locaux/ong_locales</t>
  </si>
  <si>
    <t>ecoles_acteurs_locaux/ong_nationales</t>
  </si>
  <si>
    <t>ecoles_acteurs_locaux/ong_Internationales</t>
  </si>
  <si>
    <t>ecoles_acteurs_locaux/leaders_communautaires</t>
  </si>
  <si>
    <t>ecoles_acteurs_locaux/chef_quartiers</t>
  </si>
  <si>
    <t>ecoles_acteurs_locaux/leaders_religieux</t>
  </si>
  <si>
    <t>ecoles_acteurs_locaux/aucun</t>
  </si>
  <si>
    <t>ecoles_acteurs_locaux/nsp</t>
  </si>
  <si>
    <t>ecoles_acteurs_locaux/autre</t>
  </si>
  <si>
    <t>ecoles_acteurs_locaux_autre</t>
  </si>
  <si>
    <t>ecoles_aide_fonctionnement</t>
  </si>
  <si>
    <t>ecoles_aide_fonctionnement_source</t>
  </si>
  <si>
    <t>ecoles_aide_fonctionnement_source/usagers</t>
  </si>
  <si>
    <t>ecoles_aide_fonctionnement_source/autorités</t>
  </si>
  <si>
    <t>ecoles_aide_fonctionnement_source/gouvernement</t>
  </si>
  <si>
    <t>ecoles_aide_fonctionnement_source/ong_locales</t>
  </si>
  <si>
    <t>ecoles_aide_fonctionnement_source/ong_internationales</t>
  </si>
  <si>
    <t>ecoles_aide_fonctionnement_source/nsp</t>
  </si>
  <si>
    <t>ecoles_aide_fonctionnement_source/autre</t>
  </si>
  <si>
    <t>ecoles_aide_fonctionnement_source_autre</t>
  </si>
  <si>
    <t>ecoles_aide_fonctionnement_type</t>
  </si>
  <si>
    <t>ecoles_aide_fonctionnement_type/subventions</t>
  </si>
  <si>
    <t>ecoles_aide_fonctionnement_type/materiaux_rehab</t>
  </si>
  <si>
    <t>ecoles_aide_fonctionnement_type/equipements</t>
  </si>
  <si>
    <t>ecoles_aide_fonctionnement_type/personnels</t>
  </si>
  <si>
    <t>ecoles_aide_fonctionnement_type/rehabilitations</t>
  </si>
  <si>
    <t>ecoles_aide_fonctionnement_type/constructions</t>
  </si>
  <si>
    <t>ecoles_aide_fonctionnement_type/materiel_didactique</t>
  </si>
  <si>
    <t>ecoles_aide_fonctionnement_type/formations_mp</t>
  </si>
  <si>
    <t>ecoles_aide_fonctionnement_type/formation_admin</t>
  </si>
  <si>
    <t>ecoles_aide_fonctionnement_type/formations_ape</t>
  </si>
  <si>
    <t>ecoles_aide_fonctionnement_type/nsp</t>
  </si>
  <si>
    <t>ecoles_aide_fonctionnement_type/autre</t>
  </si>
  <si>
    <t>ecoles_aide_fonctionnement_type_autre</t>
  </si>
  <si>
    <t>ecoles_aide_fonctionnement_satisfaction</t>
  </si>
  <si>
    <t>ecoles_aide_fonctionnement_insatisfaction_cause</t>
  </si>
  <si>
    <t>ecoles_aide_fonctionnement_insatisfaction_cause/insuffisant</t>
  </si>
  <si>
    <t>ecoles_aide_fonctionnement_insatisfaction_cause/inadapte</t>
  </si>
  <si>
    <t>ecoles_aide_fonctionnement_insatisfaction_cause/non_durable</t>
  </si>
  <si>
    <t>ecoles_aide_fonctionnement_insatisfaction_cause/corruption</t>
  </si>
  <si>
    <t>ecoles_aide_fonctionnement_insatisfaction_cause/autre</t>
  </si>
  <si>
    <t>ecoles_aide_fonctionnement_insatisfaction_cause_autre</t>
  </si>
  <si>
    <t>ecoles_amelioration</t>
  </si>
  <si>
    <t>ecoles_amelioration/subventions</t>
  </si>
  <si>
    <t>ecoles_amelioration/materiaux_rehab</t>
  </si>
  <si>
    <t>ecoles_amelioration/equipements</t>
  </si>
  <si>
    <t>ecoles_amelioration/personnels</t>
  </si>
  <si>
    <t>ecoles_amelioration/rehabilitations</t>
  </si>
  <si>
    <t>ecoles_amelioration/constructions</t>
  </si>
  <si>
    <t>ecoles_amelioration/materiel_didactique</t>
  </si>
  <si>
    <t>ecoles_amelioration/formations_mp</t>
  </si>
  <si>
    <t>ecoles_amelioration/formation_admin</t>
  </si>
  <si>
    <t>ecoles_amelioration/formations_ape</t>
  </si>
  <si>
    <t>ecoles_amelioration/nsp</t>
  </si>
  <si>
    <t>ecoles_amelioration/autre</t>
  </si>
  <si>
    <t>ecoles_amelioration_autre</t>
  </si>
  <si>
    <t>marches_produits</t>
  </si>
  <si>
    <t>marches_produits/alimentaires</t>
  </si>
  <si>
    <t>marches_produits/semences</t>
  </si>
  <si>
    <t>marches_produits/nfi</t>
  </si>
  <si>
    <t>marches_produits/hygiene</t>
  </si>
  <si>
    <t>marches_produits/medicaments</t>
  </si>
  <si>
    <t>marches_produits/materiaux</t>
  </si>
  <si>
    <t>marches_produits/materiel_scolaire</t>
  </si>
  <si>
    <t>marches_produits/autre</t>
  </si>
  <si>
    <t>marches_produits_autre</t>
  </si>
  <si>
    <t>marches_fonctionnel</t>
  </si>
  <si>
    <t>marches_non_fonctionnel_cause</t>
  </si>
  <si>
    <t>marches_non_fonctionnel_cause/approvisionnement</t>
  </si>
  <si>
    <t>marches_non_fonctionnel_cause/commercants</t>
  </si>
  <si>
    <t>marches_non_fonctionnel_cause/infra_endommagee</t>
  </si>
  <si>
    <t>marches_non_fonctionnel_cause/acces</t>
  </si>
  <si>
    <t>marches_non_fonctionnel_cause/insecurite</t>
  </si>
  <si>
    <t>marches_non_fonctionnel_cause/nsp</t>
  </si>
  <si>
    <t>marches_non_fonctionnel_cause/autre</t>
  </si>
  <si>
    <t>marches_non_fonctionnel_cause_autre</t>
  </si>
  <si>
    <t>marches_jours_ouverture</t>
  </si>
  <si>
    <t>marches_jours_ouverture/lundi</t>
  </si>
  <si>
    <t>marches_jours_ouverture/mardi</t>
  </si>
  <si>
    <t>marches_jours_ouverture/mercredi</t>
  </si>
  <si>
    <t>marches_jours_ouverture/jeudi</t>
  </si>
  <si>
    <t>marches_jours_ouverture/vendredi</t>
  </si>
  <si>
    <t>marches_jours_ouverture/samedi</t>
  </si>
  <si>
    <t>marches_jours_ouverture/dimanche</t>
  </si>
  <si>
    <t>marches_ouverture</t>
  </si>
  <si>
    <t>marches_ouverture/matin</t>
  </si>
  <si>
    <t>marches_ouverture/journee</t>
  </si>
  <si>
    <t>marches_ouverture/nuit</t>
  </si>
  <si>
    <t>marches_ouverture/nsp</t>
  </si>
  <si>
    <t>marches_ouverture/autre</t>
  </si>
  <si>
    <t>marches_ouverture_autre</t>
  </si>
  <si>
    <t>marches_couvert</t>
  </si>
  <si>
    <t>marches_fonctionnel_pluies</t>
  </si>
  <si>
    <t>marches_non_fonctionnel_pluies</t>
  </si>
  <si>
    <t>marches_non_fonctionnel_pluies/appro</t>
  </si>
  <si>
    <t>marches_non_fonctionnel_pluies/rupture_stock</t>
  </si>
  <si>
    <t>marches_non_fonctionnel_pluies/nsp</t>
  </si>
  <si>
    <t>marches_non_fonctionnel_pluies/autre</t>
  </si>
  <si>
    <t>marches_non_fonctionnel_pluies_autre</t>
  </si>
  <si>
    <t>marches_morts</t>
  </si>
  <si>
    <t>marches_morts_jours</t>
  </si>
  <si>
    <t>marches_morts_cause</t>
  </si>
  <si>
    <t>marches_morts_cause/insecurite_champs</t>
  </si>
  <si>
    <t>marches_morts_cause/insecurite_localite</t>
  </si>
  <si>
    <t>marches_morts_cause/rupture_stocks</t>
  </si>
  <si>
    <t>marches_morts_cause/pluies</t>
  </si>
  <si>
    <t>marches_morts_cause/nsp</t>
  </si>
  <si>
    <t>marches_morts_cause/autre</t>
  </si>
  <si>
    <t>marches_morts_cause_autre</t>
  </si>
  <si>
    <t>marches_commercants_nb</t>
  </si>
  <si>
    <t>marches_commercants_nb_changement</t>
  </si>
  <si>
    <t>marches_commercants_nb_evolution</t>
  </si>
  <si>
    <t>marches_commercants_nb_augmentation</t>
  </si>
  <si>
    <t>marches_commercants_nb_augmentation/nouveaux_commercants_deplaces</t>
  </si>
  <si>
    <t>marches_commercants_nb_augmentation/deplaces_marchandises</t>
  </si>
  <si>
    <t>marches_commercants_nb_augmentation/fermeture_marches_voisins</t>
  </si>
  <si>
    <t>marches_commercants_nb_augmentation/augmentation_acheteurs</t>
  </si>
  <si>
    <t>marches_commercants_nb_augmentation/nouvelles_demandes</t>
  </si>
  <si>
    <t>marches_commercants_nb_augmentation/securite</t>
  </si>
  <si>
    <t>marches_commercants_nb_augmentation/acces</t>
  </si>
  <si>
    <t>marches_commercants_nb_augmentation/nsp</t>
  </si>
  <si>
    <t>marches_commercants_nb_augmentation/autre</t>
  </si>
  <si>
    <t>marches_commercants_nb_augmentation_autre</t>
  </si>
  <si>
    <t>marches_commercants_nb_diminution</t>
  </si>
  <si>
    <t>marches_commercants_nb_diminution/insecurite</t>
  </si>
  <si>
    <t>marches_commercants_nb_diminution/covid</t>
  </si>
  <si>
    <t>marches_commercants_nb_diminution/acces_terre</t>
  </si>
  <si>
    <t>marches_commercants_nb_diminution/acces_localite</t>
  </si>
  <si>
    <t>marches_commercants_nb_diminution/pluies</t>
  </si>
  <si>
    <t>marches_commercants_nb_diminution/appro</t>
  </si>
  <si>
    <t>marches_commercants_nb_diminution/baisse_prix</t>
  </si>
  <si>
    <t>marches_commercants_nb_diminution/diminution_acheteurs</t>
  </si>
  <si>
    <t>marches_commercants_nb_diminution/nsp</t>
  </si>
  <si>
    <t>marches_commercants_nb_diminution/autre</t>
  </si>
  <si>
    <t>marches_commercants_nb_diminution_autre</t>
  </si>
  <si>
    <t>marches_grossistes</t>
  </si>
  <si>
    <t>marches_grossistes_nb</t>
  </si>
  <si>
    <t>marches_appro_alimentaire</t>
  </si>
  <si>
    <t>marches_appro_alimentaire/achat_individuel_producteurs</t>
  </si>
  <si>
    <t>marches_appro_alimentaire/achat_individuel_grossistes</t>
  </si>
  <si>
    <t>marches_appro_alimentaire/achat_groupe_producteurs</t>
  </si>
  <si>
    <t>marches_appro_alimentaire/achat_groupe_grossistes</t>
  </si>
  <si>
    <t>marches_appro_alimentaire/groupement</t>
  </si>
  <si>
    <t>marches_appro_alimentaire/commercants_producteurs</t>
  </si>
  <si>
    <t>marches_appro_alimentaire/nsp</t>
  </si>
  <si>
    <t>marches_appro_alimentaire/autre</t>
  </si>
  <si>
    <t>marches_appro_alimentaire_autre</t>
  </si>
  <si>
    <t>marches_appro_alimentaire_frequence</t>
  </si>
  <si>
    <t>marches_appro_alimentaire_frequence_autre</t>
  </si>
  <si>
    <t>marches_appro_alimentaire_provenance</t>
  </si>
  <si>
    <t>marches_appro_alimentaire_provenance_autre</t>
  </si>
  <si>
    <t>marches_appro_alimentaire_provenance_proche</t>
  </si>
  <si>
    <t>marches_appro_nfi</t>
  </si>
  <si>
    <t>marches_appro_nfi/achat_individuel_producteurs</t>
  </si>
  <si>
    <t>marches_appro_nfi/achat_individuel_grossistes</t>
  </si>
  <si>
    <t>marches_appro_nfi/achat_groupe_producteurs</t>
  </si>
  <si>
    <t>marches_appro_nfi/achat_groupe_grossistes</t>
  </si>
  <si>
    <t>marches_appro_nfi/groupement</t>
  </si>
  <si>
    <t>marches_appro_nfi/commercants_producteurs</t>
  </si>
  <si>
    <t>marches_appro_nfi/nsp</t>
  </si>
  <si>
    <t>marches_appro_nfi/autre</t>
  </si>
  <si>
    <t>marches_appro_nfi_autre</t>
  </si>
  <si>
    <t>marches_appro_nfi_frequence</t>
  </si>
  <si>
    <t>marches_appro_nfi_frequence_autre</t>
  </si>
  <si>
    <t>marches_appro_nfi_provenance</t>
  </si>
  <si>
    <t>marches_appro_nfi_provenance_autre</t>
  </si>
  <si>
    <t>marches_appro_nfi_provenance_proche</t>
  </si>
  <si>
    <t>marches_frequentation</t>
  </si>
  <si>
    <t>marches_frequentation_autre</t>
  </si>
  <si>
    <t>marches_frequentation_changement</t>
  </si>
  <si>
    <t>marches_frequentation_evolution</t>
  </si>
  <si>
    <t>marches_frequentation_augmentation</t>
  </si>
  <si>
    <t>marches_frequentation_augmentation/aug_population</t>
  </si>
  <si>
    <t>marches_frequentation_augmentation/deplacement_population</t>
  </si>
  <si>
    <t>marches_frequentation_augmentation/fermeture_marches_voisins</t>
  </si>
  <si>
    <t>marches_frequentation_augmentation/meilleur_appro</t>
  </si>
  <si>
    <t>marches_frequentation_augmentation/securisation</t>
  </si>
  <si>
    <t>marches_frequentation_augmentation/nsp</t>
  </si>
  <si>
    <t>marches_frequentation_augmentation/autre</t>
  </si>
  <si>
    <t>marches_frequentation_augmentation_autre</t>
  </si>
  <si>
    <t>marches_frequentation_diminution</t>
  </si>
  <si>
    <t>marches_frequentation_diminution/diminution_population</t>
  </si>
  <si>
    <t>marches_frequentation_diminution/deplacement_population</t>
  </si>
  <si>
    <t>marches_frequentation_diminution/ouverture_marches_voisins</t>
  </si>
  <si>
    <t>marches_frequentation_diminution/insecurite</t>
  </si>
  <si>
    <t>marches_frequentation_diminution/covid</t>
  </si>
  <si>
    <t>marches_frequentation_diminution/nsp</t>
  </si>
  <si>
    <t>marches_frequentation_diminution/autre</t>
  </si>
  <si>
    <t>marches_frequentation_diminution_autre</t>
  </si>
  <si>
    <t>marches_construction</t>
  </si>
  <si>
    <t>marches_construction/gvt</t>
  </si>
  <si>
    <t>marches_construction/mairie</t>
  </si>
  <si>
    <t>marches_construction/communaute</t>
  </si>
  <si>
    <t>marches_construction/secteur_prive</t>
  </si>
  <si>
    <t>marches_construction/ong_nationales</t>
  </si>
  <si>
    <t>marches_construction/ong_internationales</t>
  </si>
  <si>
    <t>marches_construction/organisation_religieuse</t>
  </si>
  <si>
    <t>marches_construction/nsp</t>
  </si>
  <si>
    <t>marches_construction/autre</t>
  </si>
  <si>
    <t>marches_construction_autre</t>
  </si>
  <si>
    <t>marches_gestion</t>
  </si>
  <si>
    <t>marches_gestion/mairie</t>
  </si>
  <si>
    <t>marches_gestion/etat</t>
  </si>
  <si>
    <t>marches_gestion/commercants</t>
  </si>
  <si>
    <t>marches_gestion/ong</t>
  </si>
  <si>
    <t>marches_gestion/aucun</t>
  </si>
  <si>
    <t>marches_gestion/nsp</t>
  </si>
  <si>
    <t>marches_gestion/autre</t>
  </si>
  <si>
    <t>marches_gestion_autre</t>
  </si>
  <si>
    <t>marches_cooperatives</t>
  </si>
  <si>
    <t>marches_cooperatives_type</t>
  </si>
  <si>
    <t>marches_cooperatives_type/association</t>
  </si>
  <si>
    <t>marches_cooperatives_type/groupement_biens</t>
  </si>
  <si>
    <t>marches_cooperatives_type/cooperative_producteurs</t>
  </si>
  <si>
    <t>marches_cooperatives_type/cooperative_eleveurs</t>
  </si>
  <si>
    <t>marches_cooperatives_type/cooperative_transformateurs</t>
  </si>
  <si>
    <t>marches_cooperatives_type/nsp</t>
  </si>
  <si>
    <t>marches_cooperatives_type/autre</t>
  </si>
  <si>
    <t>marches_cooperatives_type_autre</t>
  </si>
  <si>
    <t>marches_fin_communautaire</t>
  </si>
  <si>
    <t>marches_fin_communautaire/dons_argent</t>
  </si>
  <si>
    <t>marches_fin_communautaire/dons_materiaux</t>
  </si>
  <si>
    <t>marches_fin_communautaire/nsp</t>
  </si>
  <si>
    <t>marches_fin_communautaire/autre</t>
  </si>
  <si>
    <t>marches_fin_communautaire/aucun</t>
  </si>
  <si>
    <t>marches_fin_communautaire_autre</t>
  </si>
  <si>
    <t>marches_acteurs_locaux</t>
  </si>
  <si>
    <t>marches_acteurs_locaux/mairie</t>
  </si>
  <si>
    <t>marches_acteurs_locaux/gvt</t>
  </si>
  <si>
    <t>marches_acteurs_locaux/ong_locales</t>
  </si>
  <si>
    <t>marches_acteurs_locaux/ong_nationales</t>
  </si>
  <si>
    <t>marches_acteurs_locaux/ong_Internationales</t>
  </si>
  <si>
    <t>marches_acteurs_locaux/leaders_communautaires</t>
  </si>
  <si>
    <t>marches_acteurs_locaux/chef_quartiers</t>
  </si>
  <si>
    <t>marches_acteurs_locaux/chef_village</t>
  </si>
  <si>
    <t>marches_acteurs_locaux/leaders_religieux</t>
  </si>
  <si>
    <t>marches_acteurs_locaux/aucun</t>
  </si>
  <si>
    <t>marches_acteurs_locaux/nsp</t>
  </si>
  <si>
    <t>marches_acteurs_locaux/autre</t>
  </si>
  <si>
    <t>marches_acteurs_locaux_autre</t>
  </si>
  <si>
    <t>marches_contraintes_gestion</t>
  </si>
  <si>
    <t>marches_contraintes_gestion/manque_ressources_fin</t>
  </si>
  <si>
    <t>marches_contraintes_gestion/manque_infra</t>
  </si>
  <si>
    <t>marches_contraintes_gestion/mauvaise_routes</t>
  </si>
  <si>
    <t>marches_contraintes_gestion/insecurite_axes</t>
  </si>
  <si>
    <t>marches_contraintes_gestion/insecurite_localite</t>
  </si>
  <si>
    <t>marches_contraintes_gestion/tensions_communautaires</t>
  </si>
  <si>
    <t>marches_contraintes_gestion/vols_materiel</t>
  </si>
  <si>
    <t>marches_contraintes_gestion/vols_betail</t>
  </si>
  <si>
    <t>marches_contraintes_gestion/forte_demande</t>
  </si>
  <si>
    <t>marches_contraintes_gestion/influences_politiques</t>
  </si>
  <si>
    <t>marches_contraintes_gestion/indispo_produits</t>
  </si>
  <si>
    <t>marches_contraintes_gestion/faible_pouvoir_achat</t>
  </si>
  <si>
    <t>marches_contraintes_gestion/inflation</t>
  </si>
  <si>
    <t>marches_contraintes_gestion/taxation_ga</t>
  </si>
  <si>
    <t>marches_contraintes_gestion/aucun</t>
  </si>
  <si>
    <t>marches_contraintes_gestion/nsp</t>
  </si>
  <si>
    <t>marches_contraintes_gestion/autre</t>
  </si>
  <si>
    <t>marches_contraintes_gestion_autre</t>
  </si>
  <si>
    <t>marches_aide_fonctionnement</t>
  </si>
  <si>
    <t>marches_aide_fonctionnement_source</t>
  </si>
  <si>
    <t>marches_aide_fonctionnement_source/usagers</t>
  </si>
  <si>
    <t>marches_aide_fonctionnement_source/al</t>
  </si>
  <si>
    <t>marches_aide_fonctionnement_source/gvt</t>
  </si>
  <si>
    <t>marches_aide_fonctionnement_source/ong_locales</t>
  </si>
  <si>
    <t>marches_aide_fonctionnement_source/ong_internationale</t>
  </si>
  <si>
    <t>marches_aide_fonctionnement_source/ga</t>
  </si>
  <si>
    <t>marches_aide_fonctionnement_source/nsp</t>
  </si>
  <si>
    <t>marches_aide_fonctionnement_source/autre</t>
  </si>
  <si>
    <t>marches_aide_fonctionnement_source_autre</t>
  </si>
  <si>
    <t>marches_aide_fonctionnement_type</t>
  </si>
  <si>
    <t>marches_aide_fonctionnement_type/subventions</t>
  </si>
  <si>
    <t>marches_aide_fonctionnement_type/materiaux_rehab</t>
  </si>
  <si>
    <t>marches_aide_fonctionnement_type/rehabilitation_marches</t>
  </si>
  <si>
    <t>marches_aide_fonctionnement_type/rehabilitation_routes</t>
  </si>
  <si>
    <t>marches_aide_fonctionnement_type/rehabilitation_ponts</t>
  </si>
  <si>
    <t>marches_aide_fonctionnement_type/cash_distrib</t>
  </si>
  <si>
    <t>marches_aide_fonctionnement_type/formation</t>
  </si>
  <si>
    <t>marches_aide_fonctionnement_type/nsp</t>
  </si>
  <si>
    <t>marches_aide_fonctionnement_type/autre</t>
  </si>
  <si>
    <t>marches_aide_fonctionnement_type_autre</t>
  </si>
  <si>
    <t>marches_aide_fonctionnement_satisfaction</t>
  </si>
  <si>
    <t>marches_aide_fonctionnement_insatisfaction_cause</t>
  </si>
  <si>
    <t>marches_aide_fonctionnement_insatisfaction_cause/insuffisant</t>
  </si>
  <si>
    <t>marches_aide_fonctionnement_insatisfaction_cause/inadapte</t>
  </si>
  <si>
    <t>marches_aide_fonctionnement_insatisfaction_cause/non_durable</t>
  </si>
  <si>
    <t>marches_aide_fonctionnement_insatisfaction_cause/corruption</t>
  </si>
  <si>
    <t>marches_aide_fonctionnement_insatisfaction_cause/autre</t>
  </si>
  <si>
    <t>marches_aide_fonctionnement_insatisfaction_cause_autre</t>
  </si>
  <si>
    <t>marches_amelioration</t>
  </si>
  <si>
    <t>marches_amelioration/subventions</t>
  </si>
  <si>
    <t>marches_amelioration/materiaux_rehab</t>
  </si>
  <si>
    <t>marches_amelioration/rehabilitation_marches</t>
  </si>
  <si>
    <t>marches_amelioration/rehabilitation_routes</t>
  </si>
  <si>
    <t>marches_amelioration/rehabilitation_ponts</t>
  </si>
  <si>
    <t>marches_amelioration/cash_distrib</t>
  </si>
  <si>
    <t>marches_amelioration/formation</t>
  </si>
  <si>
    <t>marches_amelioration/nsp</t>
  </si>
  <si>
    <t>marches_amelioration/autre</t>
  </si>
  <si>
    <t>marches_amelioration_autre</t>
  </si>
  <si>
    <t>remerciements</t>
  </si>
  <si>
    <t>questions</t>
  </si>
  <si>
    <t>_id</t>
  </si>
  <si>
    <t>_uuid</t>
  </si>
  <si>
    <t>_submission_time</t>
  </si>
  <si>
    <t>_validation_status</t>
  </si>
  <si>
    <t>_index</t>
  </si>
  <si>
    <t>eau</t>
  </si>
  <si>
    <t>autre</t>
  </si>
  <si>
    <t>non</t>
  </si>
  <si>
    <t>oui</t>
  </si>
  <si>
    <t>bcp_augmente</t>
  </si>
  <si>
    <t>ong_internationales</t>
  </si>
  <si>
    <t>communaute</t>
  </si>
  <si>
    <t>marche</t>
  </si>
  <si>
    <t>bcp_diminue</t>
  </si>
  <si>
    <t>nsp</t>
  </si>
  <si>
    <t>mairie</t>
  </si>
  <si>
    <t>aucun</t>
  </si>
  <si>
    <t>lundi mardi mercredi jeudi vendredi samedi dimanche</t>
  </si>
  <si>
    <t>peu_diminue</t>
  </si>
  <si>
    <t>trimestriel</t>
  </si>
  <si>
    <t>bangui</t>
  </si>
  <si>
    <t>dons_materiaux</t>
  </si>
  <si>
    <t>education</t>
  </si>
  <si>
    <t>public</t>
  </si>
  <si>
    <t>durable</t>
  </si>
  <si>
    <t>f1</t>
  </si>
  <si>
    <t>non_rc</t>
  </si>
  <si>
    <t>insuffisant inadapte</t>
  </si>
  <si>
    <t>hangar</t>
  </si>
  <si>
    <t>religieux</t>
  </si>
  <si>
    <t>salaires achat_materiel</t>
  </si>
  <si>
    <t>hangar_traditionnel</t>
  </si>
  <si>
    <t>insuffisant</t>
  </si>
  <si>
    <t>coranique</t>
  </si>
  <si>
    <t>oui_potable</t>
  </si>
  <si>
    <t>source_amenagee</t>
  </si>
  <si>
    <t>non_rehab</t>
  </si>
  <si>
    <t>f2</t>
  </si>
  <si>
    <t>peu_augmente</t>
  </si>
  <si>
    <t>oui_rc</t>
  </si>
  <si>
    <t>gvt</t>
  </si>
  <si>
    <t>materiel_didactique</t>
  </si>
  <si>
    <t>pompe_pied</t>
  </si>
  <si>
    <t>destruction</t>
  </si>
  <si>
    <t>oui_pas_potable</t>
  </si>
  <si>
    <t>insecurite</t>
  </si>
  <si>
    <t>ong_Internationales</t>
  </si>
  <si>
    <t>oui_traitee</t>
  </si>
  <si>
    <t>quartier</t>
  </si>
  <si>
    <t>dotation_materiaux</t>
  </si>
  <si>
    <t>achat_individuel_grossistes</t>
  </si>
  <si>
    <t>hebdo</t>
  </si>
  <si>
    <t>dotation_materiaux personnel_maintenance</t>
  </si>
  <si>
    <t xml:space="preserve">Pompe à pied </t>
  </si>
  <si>
    <t xml:space="preserve">Source aménagée </t>
  </si>
  <si>
    <t>Puits protégé</t>
  </si>
  <si>
    <t>Puits non protégé</t>
  </si>
  <si>
    <t>Autre</t>
  </si>
  <si>
    <t xml:space="preserve">TOTAL </t>
  </si>
  <si>
    <t>#</t>
  </si>
  <si>
    <t xml:space="preserve">Proportion </t>
  </si>
  <si>
    <t>NON</t>
  </si>
  <si>
    <t>OUI</t>
  </si>
  <si>
    <t xml:space="preserve">Besoin de réhabilitation </t>
  </si>
  <si>
    <t xml:space="preserve">Besoin de reconstruction </t>
  </si>
  <si>
    <t>Besoin de réparations/maintenance</t>
  </si>
  <si>
    <t xml:space="preserve">Si non fonctionnels, pourquoi ? </t>
  </si>
  <si>
    <t>Destruction</t>
  </si>
  <si>
    <t>Contamination</t>
  </si>
  <si>
    <t>Vol équipement</t>
  </si>
  <si>
    <t>Assèchement source</t>
  </si>
  <si>
    <t>Problème d'accès</t>
  </si>
  <si>
    <t xml:space="preserve">Autre </t>
  </si>
  <si>
    <t>Proportion</t>
  </si>
  <si>
    <t xml:space="preserve">Point d'eau utilisé pour boire ? </t>
  </si>
  <si>
    <t xml:space="preserve">Nombre moyen de ménages qui utilisent le point d'eau : </t>
  </si>
  <si>
    <t xml:space="preserve">Si oui : </t>
  </si>
  <si>
    <t xml:space="preserve">Beaucoup augmenté </t>
  </si>
  <si>
    <t xml:space="preserve">Beaucoup diminué </t>
  </si>
  <si>
    <t xml:space="preserve">Si augmentation, pourquoi ? </t>
  </si>
  <si>
    <t>Augmentation de la population</t>
  </si>
  <si>
    <t>Arrivée de déplacés</t>
  </si>
  <si>
    <t xml:space="preserve">Activités de sensibilisation EHA </t>
  </si>
  <si>
    <t>NSP</t>
  </si>
  <si>
    <t xml:space="preserve">Point d'eau créé ou réhabilité après les événements </t>
  </si>
  <si>
    <t xml:space="preserve">Destruction d'autres points d'eau à proximité </t>
  </si>
  <si>
    <t xml:space="preserve">Insecurite dans d'autres zones de la localité </t>
  </si>
  <si>
    <t xml:space="preserve">Gouvernement </t>
  </si>
  <si>
    <t>Mairie</t>
  </si>
  <si>
    <t>Communauté</t>
  </si>
  <si>
    <t>Secteur privé</t>
  </si>
  <si>
    <t>ONG nationales</t>
  </si>
  <si>
    <t>ONGI</t>
  </si>
  <si>
    <t>Organisation religieuse</t>
  </si>
  <si>
    <t xml:space="preserve">Si payant, prix moyen :  </t>
  </si>
  <si>
    <t>XAF</t>
  </si>
  <si>
    <t xml:space="preserve">Si payant, changement de prix ? </t>
  </si>
  <si>
    <t xml:space="preserve">Si changement de prix, pourquoi ? </t>
  </si>
  <si>
    <t>Prix de l'équipement</t>
  </si>
  <si>
    <t>Prix du personnel</t>
  </si>
  <si>
    <t>Prix maintenance</t>
  </si>
  <si>
    <t>Changement du mode de gestion</t>
  </si>
  <si>
    <t>Dons argent</t>
  </si>
  <si>
    <t>Dons materiaux</t>
  </si>
  <si>
    <t>Aucun</t>
  </si>
  <si>
    <t xml:space="preserve">Manque de ressources financières </t>
  </si>
  <si>
    <t xml:space="preserve">Vols et pillages du matériel </t>
  </si>
  <si>
    <t xml:space="preserve">Sur-utilisation et pression sur service </t>
  </si>
  <si>
    <t>Gouvernement</t>
  </si>
  <si>
    <t>ONG locales</t>
  </si>
  <si>
    <t>Leaders communautaires</t>
  </si>
  <si>
    <t>Chefs de quartiers</t>
  </si>
  <si>
    <t xml:space="preserve">Chef de village </t>
  </si>
  <si>
    <t xml:space="preserve">Leaders religieux </t>
  </si>
  <si>
    <t xml:space="preserve">Si oui, de la part de qui ? </t>
  </si>
  <si>
    <t>Usagers</t>
  </si>
  <si>
    <t>Autorités</t>
  </si>
  <si>
    <t xml:space="preserve">Si oui, type d'aide ? </t>
  </si>
  <si>
    <t xml:space="preserve">Réhabilitation de bâtiments / locaux </t>
  </si>
  <si>
    <t xml:space="preserve">Réhabilitation des équipements (pompe, puits)  </t>
  </si>
  <si>
    <t xml:space="preserve">Dotations d'équipements de maintenance  </t>
  </si>
  <si>
    <t xml:space="preserve">Personnel qualifié </t>
  </si>
  <si>
    <t xml:space="preserve">Si non, pourquoi ? </t>
  </si>
  <si>
    <t>Insuffisant</t>
  </si>
  <si>
    <t>Inadapté</t>
  </si>
  <si>
    <t>Non durable</t>
  </si>
  <si>
    <t>Corruption</t>
  </si>
  <si>
    <t>Publique</t>
  </si>
  <si>
    <t xml:space="preserve">Privée </t>
  </si>
  <si>
    <t xml:space="preserve">Religieuse </t>
  </si>
  <si>
    <t>Durable</t>
  </si>
  <si>
    <t>Hangar</t>
  </si>
  <si>
    <t>Hangar traditionnel</t>
  </si>
  <si>
    <t xml:space="preserve">Manque de moyens pour l'entretien des bâtiments </t>
  </si>
  <si>
    <t xml:space="preserve">Intrusion régulière de groupes armés </t>
  </si>
  <si>
    <t>Incendie volontaire/involontaire</t>
  </si>
  <si>
    <t xml:space="preserve">Vandalisme </t>
  </si>
  <si>
    <t xml:space="preserve">INFRASTRUCTURE </t>
  </si>
  <si>
    <t xml:space="preserve">Présence de latrines ? </t>
  </si>
  <si>
    <t xml:space="preserve">Si oui, combien en moyenne ? </t>
  </si>
  <si>
    <t>Si oui, séparées par genre ?</t>
  </si>
  <si>
    <t xml:space="preserve">Moyenne pour les filles </t>
  </si>
  <si>
    <t xml:space="preserve">Moyenne pour les garçons :  </t>
  </si>
  <si>
    <t xml:space="preserve">Présence de point d'eau ? </t>
  </si>
  <si>
    <t xml:space="preserve">Si oui, séparées pour le personnel ? </t>
  </si>
  <si>
    <t xml:space="preserve">MODE DE FONCTIONNEMENT </t>
  </si>
  <si>
    <t>TYPE DE SERVICE</t>
  </si>
  <si>
    <t>UTILISATION</t>
  </si>
  <si>
    <t>MODE DE FONCTIONNEMENT</t>
  </si>
  <si>
    <t>Service payant ?</t>
  </si>
  <si>
    <t>Financement communautaire ?</t>
  </si>
  <si>
    <t xml:space="preserve">Contraintes de gestion ? </t>
  </si>
  <si>
    <t>Contact avec les acteurs locaux ?</t>
  </si>
  <si>
    <t>PISTES D'AMELIORATION</t>
  </si>
  <si>
    <t>CAPACITES DU SERVICE</t>
  </si>
  <si>
    <t>Construction ?</t>
  </si>
  <si>
    <t xml:space="preserve">Construction ? </t>
  </si>
  <si>
    <t xml:space="preserve">Point d'eau fonctionnel ? </t>
  </si>
  <si>
    <t xml:space="preserve">Si oui, comment ? </t>
  </si>
  <si>
    <t>Peu diminué</t>
  </si>
  <si>
    <t>Beaucoup diminué</t>
  </si>
  <si>
    <t>Peu augmenté</t>
  </si>
  <si>
    <t xml:space="preserve">Si diminution, pourquoi ? </t>
  </si>
  <si>
    <t xml:space="preserve">Augmentation de la population dans la zone  </t>
  </si>
  <si>
    <t xml:space="preserve">Arrivée de populations déplacées  </t>
  </si>
  <si>
    <t xml:space="preserve">Réhabilitation de l'école  </t>
  </si>
  <si>
    <t xml:space="preserve">Stabilisation sécuritaire de la zone  </t>
  </si>
  <si>
    <t xml:space="preserve">Il y a moins d'habitants dans la zone  </t>
  </si>
  <si>
    <t xml:space="preserve">Ecoles réhabilitées dans des localités voisines  </t>
  </si>
  <si>
    <t xml:space="preserve">Les enfants sont engagés dans l'exploitation minière  </t>
  </si>
  <si>
    <t xml:space="preserve">Beaucoup d'enfants enrôlés dans les GA  </t>
  </si>
  <si>
    <t xml:space="preserve">Nb moyen d'enseignants vacataires : </t>
  </si>
  <si>
    <t xml:space="preserve">Nb moyens de maître-parents </t>
  </si>
  <si>
    <t>Niveau de formation des enseignants (titulaires et vacataires) suffisant ?</t>
  </si>
  <si>
    <t xml:space="preserve">Oui mais certains auraient besoin d'un RC </t>
  </si>
  <si>
    <t xml:space="preserve">Nb moyen d'enseignants titulaires : </t>
  </si>
  <si>
    <t xml:space="preserve">Ecole payante ? </t>
  </si>
  <si>
    <t xml:space="preserve">XAF </t>
  </si>
  <si>
    <t xml:space="preserve">Finalité des frais de scolarité ? </t>
  </si>
  <si>
    <t xml:space="preserve">Rémunérer les professeurs  </t>
  </si>
  <si>
    <t xml:space="preserve">Achat de matériel  </t>
  </si>
  <si>
    <t xml:space="preserve">Réhabilitation des infrastructures  </t>
  </si>
  <si>
    <t xml:space="preserve">Organisation d'activités sportives et culturelles pour les enfants  </t>
  </si>
  <si>
    <t xml:space="preserve">Financement communautaire ? </t>
  </si>
  <si>
    <t xml:space="preserve">Manque de matériel pédagogique  </t>
  </si>
  <si>
    <t xml:space="preserve">Manque d'équipement de base (Bancs, chaises, tableaux)  </t>
  </si>
  <si>
    <t>Aide au fonctionnement reçue ?</t>
  </si>
  <si>
    <t>Alimentaires</t>
  </si>
  <si>
    <t>Semences</t>
  </si>
  <si>
    <t>Produits vendus ?</t>
  </si>
  <si>
    <t xml:space="preserve">NFI </t>
  </si>
  <si>
    <t>Hygiène</t>
  </si>
  <si>
    <t>Médicaments</t>
  </si>
  <si>
    <t>Matériaux</t>
  </si>
  <si>
    <t>Matériel scolaire</t>
  </si>
  <si>
    <t xml:space="preserve">Marché fonctionnel ? </t>
  </si>
  <si>
    <t>Marché couvert ?</t>
  </si>
  <si>
    <t>Fonctionnel en saison des pluies ?</t>
  </si>
  <si>
    <t>Nb moyen de commerçants :</t>
  </si>
  <si>
    <t xml:space="preserve">L'accès à la localité s'est dégradé  </t>
  </si>
  <si>
    <t xml:space="preserve">L'accès au marché s'est dégradé  </t>
  </si>
  <si>
    <t xml:space="preserve">Il y a moins d’acheteurs  </t>
  </si>
  <si>
    <t>Présence de grossistes ?</t>
  </si>
  <si>
    <t xml:space="preserve">APPROVISIONNEMENT </t>
  </si>
  <si>
    <t xml:space="preserve">Achat groupé auprès des producteurs </t>
  </si>
  <si>
    <t xml:space="preserve">Achat groupé auprès des grossistes   </t>
  </si>
  <si>
    <t xml:space="preserve">Achat via un groupement ou un syndicat  </t>
  </si>
  <si>
    <t xml:space="preserve">Achat individuel auprès des producteurs  </t>
  </si>
  <si>
    <t xml:space="preserve">Achat individuel auprès des grossistes / revendeurs  </t>
  </si>
  <si>
    <t xml:space="preserve">Les commerçants sont eux-mêmes producteurs  </t>
  </si>
  <si>
    <t xml:space="preserve">Provenance : </t>
  </si>
  <si>
    <t xml:space="preserve">Localement  </t>
  </si>
  <si>
    <t xml:space="preserve">Dans la grande localité dans la plus proche  </t>
  </si>
  <si>
    <t xml:space="preserve">Bangui  </t>
  </si>
  <si>
    <t xml:space="preserve">A l'extérieur du pays  </t>
  </si>
  <si>
    <t>FREQUENTATION</t>
  </si>
  <si>
    <t xml:space="preserve">Départ de populations vers d'autres localités  </t>
  </si>
  <si>
    <t xml:space="preserve">Ouverture de nouveaux marchés dans les villes voisines  </t>
  </si>
  <si>
    <t xml:space="preserve">Dégradation sécuritaire  </t>
  </si>
  <si>
    <t xml:space="preserve">Epidémie Covid-19 </t>
  </si>
  <si>
    <t>TAXES</t>
  </si>
  <si>
    <t xml:space="preserve">La mairie  </t>
  </si>
  <si>
    <t xml:space="preserve">Gestion du marché : </t>
  </si>
  <si>
    <t xml:space="preserve">Les commerçants eux-mêmes  </t>
  </si>
  <si>
    <t xml:space="preserve">Une ONG  </t>
  </si>
  <si>
    <t xml:space="preserve">Pas de système de gestion mis en place  </t>
  </si>
  <si>
    <t>Un service de l'Etat (préfecture, sous-prefecture, minsitère)</t>
  </si>
  <si>
    <t xml:space="preserve">Coopérative ou groupement de commerçants ? </t>
  </si>
  <si>
    <t xml:space="preserve">Mauvaise qualité des routes  </t>
  </si>
  <si>
    <t xml:space="preserve">Tensions communautaires  </t>
  </si>
  <si>
    <t xml:space="preserve">Vols et pillages du matériel  </t>
  </si>
  <si>
    <t xml:space="preserve">Vol de bétail dans la zone  </t>
  </si>
  <si>
    <t xml:space="preserve">Faible pouvoir d'achat des acheteurs  </t>
  </si>
  <si>
    <t xml:space="preserve">Aucune  </t>
  </si>
  <si>
    <t xml:space="preserve">Réhabilitation des routes  </t>
  </si>
  <si>
    <t xml:space="preserve">Réhabilitation de ponts à proximité  </t>
  </si>
  <si>
    <t xml:space="preserve">Distribution directe d'argent aux habitants de la localité  </t>
  </si>
  <si>
    <t xml:space="preserve">Formations (gestion, comptabilité)  </t>
  </si>
  <si>
    <t>centre_sante</t>
  </si>
  <si>
    <t>ok</t>
  </si>
  <si>
    <t>subventions</t>
  </si>
  <si>
    <t>sante</t>
  </si>
  <si>
    <t>hopital_district</t>
  </si>
  <si>
    <t>acces_communautaire</t>
  </si>
  <si>
    <t>mairie chef_quartiers</t>
  </si>
  <si>
    <t>financier</t>
  </si>
  <si>
    <t>local</t>
  </si>
  <si>
    <t>association</t>
  </si>
  <si>
    <t>achat_individuel_producteurs achat_individuel_grossistes</t>
  </si>
  <si>
    <t>dons_argent</t>
  </si>
  <si>
    <t>localite</t>
  </si>
  <si>
    <t>bidon</t>
  </si>
  <si>
    <t>comite-gestion</t>
  </si>
  <si>
    <t>plus_diplomes</t>
  </si>
  <si>
    <t>construction</t>
  </si>
  <si>
    <t xml:space="preserve">Source non aménagée </t>
  </si>
  <si>
    <t xml:space="preserve">Peu augmenté </t>
  </si>
  <si>
    <t xml:space="preserve">Peu diminué </t>
  </si>
  <si>
    <t xml:space="preserve">Satisfaisant ? </t>
  </si>
  <si>
    <t>Satisfaisant ?</t>
  </si>
  <si>
    <t xml:space="preserve">Présence d'un hôpital de district :  </t>
  </si>
  <si>
    <t xml:space="preserve">Nb de points d'eau : </t>
  </si>
  <si>
    <t xml:space="preserve">Nb d'écoles : </t>
  </si>
  <si>
    <t xml:space="preserve">Partiellement </t>
  </si>
  <si>
    <t>Présence de latrines fonctionnelles ?</t>
  </si>
  <si>
    <t xml:space="preserve">OUI mais non fonctionnelles </t>
  </si>
  <si>
    <t xml:space="preserve">Si oui, séparées par genre ? </t>
  </si>
  <si>
    <t xml:space="preserve">Nb moyen pour les femmes : </t>
  </si>
  <si>
    <t xml:space="preserve">Nb moyen pour les hommes : </t>
  </si>
  <si>
    <t>Si oui, séparées patients/personnels ?</t>
  </si>
  <si>
    <t>Accès à l'eau potable ?</t>
  </si>
  <si>
    <t xml:space="preserve">Si oui, quel type ? </t>
  </si>
  <si>
    <t xml:space="preserve">Accès direct - privé  </t>
  </si>
  <si>
    <t xml:space="preserve">Accès au point d'eau communautaire  </t>
  </si>
  <si>
    <t xml:space="preserve">Eau distribuée par camion  </t>
  </si>
  <si>
    <t xml:space="preserve">Présence d'un générateur ? </t>
  </si>
  <si>
    <t>PRESTATIONS</t>
  </si>
  <si>
    <t xml:space="preserve">Types de soins pratiqués ? </t>
  </si>
  <si>
    <t xml:space="preserve">Consultations curatives </t>
  </si>
  <si>
    <t xml:space="preserve">Consultations prénatales </t>
  </si>
  <si>
    <t xml:space="preserve">Malnutrition aigue sévère </t>
  </si>
  <si>
    <t xml:space="preserve">Victimes de Violence Sexuelles </t>
  </si>
  <si>
    <t xml:space="preserve">Maladies infectieuses </t>
  </si>
  <si>
    <t xml:space="preserve">Maternité </t>
  </si>
  <si>
    <t xml:space="preserve">Vaccinations ? </t>
  </si>
  <si>
    <t xml:space="preserve">Pentavalent 3  </t>
  </si>
  <si>
    <t>Cellule d'appui psycho-social ?</t>
  </si>
  <si>
    <t xml:space="preserve">Si oui, quelle équipe ? </t>
  </si>
  <si>
    <t xml:space="preserve">Un psychologue qualifié (privé)  </t>
  </si>
  <si>
    <t xml:space="preserve">Un membre de la communauté  </t>
  </si>
  <si>
    <t xml:space="preserve">Une équipe ONG  </t>
  </si>
  <si>
    <t xml:space="preserve">Nb de patients moyen qui peuvent être accueillis par jour par les structures de santé : </t>
  </si>
  <si>
    <t xml:space="preserve">Changement du nb de patients reçus ? </t>
  </si>
  <si>
    <t>Si oui, nature du changement ?</t>
  </si>
  <si>
    <t>Fermeture des structures de santé voisines</t>
  </si>
  <si>
    <t>Nouveaux problèmes de santé</t>
  </si>
  <si>
    <t xml:space="preserve">Nouveaux soins  </t>
  </si>
  <si>
    <t xml:space="preserve">Structure renforcée  par l’aide humanitaire  </t>
  </si>
  <si>
    <t xml:space="preserve">Structure renforcée par le gouvernement  </t>
  </si>
  <si>
    <t xml:space="preserve">Structure référencée par des ONG humanitaires  </t>
  </si>
  <si>
    <t>Pression sur les services ?</t>
  </si>
  <si>
    <t>Fortement sur-utilisé/ saturé</t>
  </si>
  <si>
    <t>Un peu sur-utilisé / Saturé</t>
  </si>
  <si>
    <t>Utilisé selon ses capacités</t>
  </si>
  <si>
    <t>Un peu sous-utilisé</t>
  </si>
  <si>
    <t>Fortement sous-utilisé</t>
  </si>
  <si>
    <t xml:space="preserve">Nb moyen de travailleurs : </t>
  </si>
  <si>
    <t xml:space="preserve">Nb moyen de médecins qualifiés : </t>
  </si>
  <si>
    <t xml:space="preserve">Nb moyen d'infirmiers qualifiés : </t>
  </si>
  <si>
    <t xml:space="preserve">Nb moyen d'aides soignants : </t>
  </si>
  <si>
    <t>Nb moyen d'accoucheuses :</t>
  </si>
  <si>
    <t xml:space="preserve">Nb moyen spécialistes paramedicaux : </t>
  </si>
  <si>
    <t xml:space="preserve">Nb moyen d'agents de santé communautaires : </t>
  </si>
  <si>
    <t xml:space="preserve">Nb moyen de personnes en support : </t>
  </si>
  <si>
    <t xml:space="preserve">Consultations payantes ? </t>
  </si>
  <si>
    <t xml:space="preserve">Si oui, changement de prix ? </t>
  </si>
  <si>
    <t xml:space="preserve">Si oui, nature du changement ? </t>
  </si>
  <si>
    <t xml:space="preserve">Le loyer est plus cher  </t>
  </si>
  <si>
    <t xml:space="preserve">Baisse des subventions de l'Etat  </t>
  </si>
  <si>
    <t xml:space="preserve">Difficultés pour payer les salaires  </t>
  </si>
  <si>
    <t xml:space="preserve">Rackets et pillages  </t>
  </si>
  <si>
    <t>Mode de gestion ?</t>
  </si>
  <si>
    <t>ONG</t>
  </si>
  <si>
    <t>Public</t>
  </si>
  <si>
    <t>Privé</t>
  </si>
  <si>
    <t>Religieux</t>
  </si>
  <si>
    <t xml:space="preserve">Comité de gestion ? </t>
  </si>
  <si>
    <t xml:space="preserve">Manque de ressources financières  </t>
  </si>
  <si>
    <t xml:space="preserve">Manque de médicaments </t>
  </si>
  <si>
    <t xml:space="preserve">Mauvaise qualité des médicaments  </t>
  </si>
  <si>
    <t xml:space="preserve">Concurrence des "médicaments de rue"  </t>
  </si>
  <si>
    <t>Manque d'équipement de base (lits, brancards, matériel)</t>
  </si>
  <si>
    <t xml:space="preserve">Manque de personnels qualifiés  </t>
  </si>
  <si>
    <t xml:space="preserve">Manque de sécurité et présence de groupes armés </t>
  </si>
  <si>
    <t xml:space="preserve">Sur-utilisation et pression sur service  </t>
  </si>
  <si>
    <t xml:space="preserve">Dotations de matériaux de réhabilitation  </t>
  </si>
  <si>
    <t xml:space="preserve">Dotations d'équipements médicaux  </t>
  </si>
  <si>
    <t xml:space="preserve">COVID 19 </t>
  </si>
  <si>
    <t xml:space="preserve">Avez-vous reçu des informations ? </t>
  </si>
  <si>
    <t>Si oui, de quel type ?</t>
  </si>
  <si>
    <t xml:space="preserve">Symptômes  </t>
  </si>
  <si>
    <t xml:space="preserve">Modes de transmission du virus  </t>
  </si>
  <si>
    <t xml:space="preserve">Mesures gouvernementales </t>
  </si>
  <si>
    <t>Messages de sensibilisation</t>
  </si>
  <si>
    <t>Mesures individuelles et collectives de protections</t>
  </si>
  <si>
    <t xml:space="preserve">Nb et localisation des cas en RCA  </t>
  </si>
  <si>
    <t xml:space="preserve">Existence d'un plan d'alerte ? </t>
  </si>
  <si>
    <t xml:space="preserve">Existence d'un plan de réponse ? </t>
  </si>
  <si>
    <t>Campagne de sensibilisation menée ?</t>
  </si>
  <si>
    <t xml:space="preserve">Si oui, sur quels aspects ? </t>
  </si>
  <si>
    <t xml:space="preserve">Modes de propagation du virus  </t>
  </si>
  <si>
    <t xml:space="preserve">Distances sociales de sécurité  </t>
  </si>
  <si>
    <t>Le port du masque</t>
  </si>
  <si>
    <t xml:space="preserve">Eviter les lieux publics et les rassemblements  </t>
  </si>
  <si>
    <t xml:space="preserve">Les traitements  </t>
  </si>
  <si>
    <t>Gestes barrières</t>
  </si>
  <si>
    <t xml:space="preserve">Si oui, avez-vous reçu une aide extérieure pour le faire ? </t>
  </si>
  <si>
    <t xml:space="preserve">Un service de l'Etat </t>
  </si>
  <si>
    <t xml:space="preserve">ONG nationale  </t>
  </si>
  <si>
    <t xml:space="preserve">ONG international  </t>
  </si>
  <si>
    <t xml:space="preserve">Organisation de l’ONU  </t>
  </si>
  <si>
    <t xml:space="preserve">Présence locale d'une pharmacie ? </t>
  </si>
  <si>
    <t xml:space="preserve">Matériel pour faire une perfusion ? </t>
  </si>
  <si>
    <t xml:space="preserve">Possession d'une ambulance ? </t>
  </si>
  <si>
    <t>Possession de gants ?</t>
  </si>
  <si>
    <t>Possession de chlore ?</t>
  </si>
  <si>
    <t>Possession de thermomètres ?</t>
  </si>
  <si>
    <t>Disposnibilité d'un espace de quarantaine ?</t>
  </si>
  <si>
    <t>severes</t>
  </si>
  <si>
    <t>rehabilitation</t>
  </si>
  <si>
    <t>rehab_equipements sensibilisation</t>
  </si>
  <si>
    <t xml:space="preserve">Provenance des utilisateurs ? </t>
  </si>
  <si>
    <t xml:space="preserve">Des maisons alentours seulement  </t>
  </si>
  <si>
    <t xml:space="preserve">De ce quartier  </t>
  </si>
  <si>
    <t xml:space="preserve">De plusieurs quartiers  </t>
  </si>
  <si>
    <t xml:space="preserve">De toute la localité </t>
  </si>
  <si>
    <t xml:space="preserve">De la localité et les environs </t>
  </si>
  <si>
    <t xml:space="preserve">Formations pour l'APE  </t>
  </si>
  <si>
    <t xml:space="preserve">Des formations pour les maîtres-parents  </t>
  </si>
  <si>
    <t>Formations en gestion et administration</t>
  </si>
  <si>
    <t>subventions materiaux_rehab equipements personnels rehabilitations constructions materiel_didactique formations_mp formation_admin formations_ape</t>
  </si>
  <si>
    <t>ressources_fin materiel equipement professeurs_qualifies insecurite</t>
  </si>
  <si>
    <t>symptomes transmission mesures_gvt msg_sensibilisation mesures_preventions nb_cas</t>
  </si>
  <si>
    <t>partiel</t>
  </si>
  <si>
    <t>ga</t>
  </si>
  <si>
    <t xml:space="preserve">PARTIEL </t>
  </si>
  <si>
    <t xml:space="preserve">Des subventions directes d'argent </t>
  </si>
  <si>
    <t xml:space="preserve">Dotation de matériaux pour la réhabilitation ou construction   </t>
  </si>
  <si>
    <t xml:space="preserve">Du personnel qualifiés  </t>
  </si>
  <si>
    <t>code_gps</t>
  </si>
  <si>
    <t>point_eau_coges</t>
  </si>
  <si>
    <t>point_eau_fonctionnel_endommage</t>
  </si>
  <si>
    <t>point_eau_fonctionnel_endommage_autre</t>
  </si>
  <si>
    <t>point_eau_fonctionnel_endommage_tps</t>
  </si>
  <si>
    <t>point_eau_non_fonctionnel_tps</t>
  </si>
  <si>
    <t>point_eau_temps_marche</t>
  </si>
  <si>
    <t>point_eau_construction/chef_communautaire</t>
  </si>
  <si>
    <t>point_eau_construction/proprietaire</t>
  </si>
  <si>
    <t>point_eau_construction/religieux</t>
  </si>
  <si>
    <t>point_eau_contraintes_gestion/respect_mode_gestion</t>
  </si>
  <si>
    <t>point_eau_acteurs_locaux/ape</t>
  </si>
  <si>
    <t>latrines_gps_numero</t>
  </si>
  <si>
    <t>latrines_coges</t>
  </si>
  <si>
    <t>latrines_fonctionnement_endommagees</t>
  </si>
  <si>
    <t>latrines_fonctionnement_endommagees_tps</t>
  </si>
  <si>
    <t>latrines_fonctionnement_tps</t>
  </si>
  <si>
    <t>latrines_construction/chef_communautaire</t>
  </si>
  <si>
    <t>latrines_construction/proprietaire</t>
  </si>
  <si>
    <t>latrines_construction/religieux</t>
  </si>
  <si>
    <t>latrines_contraintes_gestion/respect_mode_gestion</t>
  </si>
  <si>
    <t>latrines_acteurs_locaux/ape</t>
  </si>
  <si>
    <t>sante_nom</t>
  </si>
  <si>
    <t>sante_fonctionnel_partiel</t>
  </si>
  <si>
    <t>sante_fonctionnel_partiel_autre</t>
  </si>
  <si>
    <t>sante_fonctionnel_partiel_tps</t>
  </si>
  <si>
    <t>sante_non_fonctionnel/aucun_elec_eau</t>
  </si>
  <si>
    <t>sante_non_fonctionnel/ressources_fin_fonctionnement</t>
  </si>
  <si>
    <t>sante_non_fonctionnel/ressources_fin_maintenance</t>
  </si>
  <si>
    <t>sante_non_fonctionnel/manque_personnel</t>
  </si>
  <si>
    <t>sante_non_fonctionnel/covid</t>
  </si>
  <si>
    <t>sante_non_fonctionnel_tps</t>
  </si>
  <si>
    <t>sante_soins/premiers_soins</t>
  </si>
  <si>
    <t>sante_vaccination_type/tuberculose</t>
  </si>
  <si>
    <t>sante_vaccination_type/polio</t>
  </si>
  <si>
    <t>sante_construction/chef_communautaire</t>
  </si>
  <si>
    <t>sante_construction/proprietaire</t>
  </si>
  <si>
    <t>sante_construction/religieux</t>
  </si>
  <si>
    <t>sante_acteurs_locaux/ape</t>
  </si>
  <si>
    <t>covid_pharmacie_trajet</t>
  </si>
  <si>
    <t>covid_pharmacie_trajet_moyen</t>
  </si>
  <si>
    <t>covid_pharmacie_trajet_moyen_autre</t>
  </si>
  <si>
    <t>covid_hopital_trajet</t>
  </si>
  <si>
    <t>covid_hopital_trajet_moyen</t>
  </si>
  <si>
    <t>covid_hopital_trajet_moyen_autre</t>
  </si>
  <si>
    <t>ecoles_nom</t>
  </si>
  <si>
    <t>ecoles_etat</t>
  </si>
  <si>
    <t>ecoles_fonctionnelles_partiel</t>
  </si>
  <si>
    <t>ecoles_fonctionnelles_partiel/ecole_endommagee</t>
  </si>
  <si>
    <t>ecoles_fonctionnelles_partiel/manque_mobilier</t>
  </si>
  <si>
    <t>ecoles_fonctionnelles_partiel/insuffisance_classes</t>
  </si>
  <si>
    <t>ecoles_fonctionnelles_partiel/ressources_fin_fonctionnement</t>
  </si>
  <si>
    <t>ecoles_fonctionnelles_partiel/ressources_fin_entretien</t>
  </si>
  <si>
    <t>ecoles_fonctionnelles_partiel/manque_enseignants</t>
  </si>
  <si>
    <t>ecoles_fonctionnelles_partiel/nsp</t>
  </si>
  <si>
    <t>ecoles_fonctionnelles_partiel/autre</t>
  </si>
  <si>
    <t>ecoles_fonctionnelles_partiel_autre</t>
  </si>
  <si>
    <t>ecoles_fonctionnelles_partiel_tps</t>
  </si>
  <si>
    <t>ecoles_non_fonctionnelles</t>
  </si>
  <si>
    <t>ecoles_non_fonctionnelles/infra_detruite</t>
  </si>
  <si>
    <t>ecoles_non_fonctionnelles/pillages</t>
  </si>
  <si>
    <t>ecoles_non_fonctionnelles/ressources_fin_fonctionnement</t>
  </si>
  <si>
    <t>ecoles_non_fonctionnelles/ressources_fin_entretien</t>
  </si>
  <si>
    <t>ecoles_non_fonctionnelles/aucun_enseignant</t>
  </si>
  <si>
    <t>ecoles_non_fonctionnelles/insecurite</t>
  </si>
  <si>
    <t>ecoles_non_fonctionnelles/fermeture_covid</t>
  </si>
  <si>
    <t>ecoles_non_fonctionnelles/nsp</t>
  </si>
  <si>
    <t>ecoles_non_fonctionnelles/autre</t>
  </si>
  <si>
    <t>ecoles_non_fonctionnelles_autre</t>
  </si>
  <si>
    <t>ecoles_non_fonctionnelles_tps</t>
  </si>
  <si>
    <t>ecoles_construction/chef_communautaire</t>
  </si>
  <si>
    <t>ecoles_construction/proprietaire</t>
  </si>
  <si>
    <t>ecoles_construction/religieux</t>
  </si>
  <si>
    <t>ecoles_effectifs_augmentation/sensibilisation</t>
  </si>
  <si>
    <t>ecoles_effectifs_diminution/ga</t>
  </si>
  <si>
    <t>ecoles_titulaires_augmentation/plus_formation</t>
  </si>
  <si>
    <t>ecoles_acteurs_locaux/ape</t>
  </si>
  <si>
    <t>marches_nom</t>
  </si>
  <si>
    <t>marches_non_fonctionnel_tps</t>
  </si>
  <si>
    <t>marches_commercants_nb_diminution/taxes</t>
  </si>
  <si>
    <t>marches_taxes</t>
  </si>
  <si>
    <t>marches_taxes/transport</t>
  </si>
  <si>
    <t>marches_taxes/emplacement</t>
  </si>
  <si>
    <t>marches_taxes/abattage</t>
  </si>
  <si>
    <t>marches_taxes/crus</t>
  </si>
  <si>
    <t>marches_taxes/nsp</t>
  </si>
  <si>
    <t>marches_taxes/autre</t>
  </si>
  <si>
    <t>marches_taxes_transport_unite</t>
  </si>
  <si>
    <t>marches_taxes_transport_unite_autre</t>
  </si>
  <si>
    <t>marches_taxes_transport_prix</t>
  </si>
  <si>
    <t>marches_taxes_transport_versement</t>
  </si>
  <si>
    <t>marches_taxes_transport_versement_autre</t>
  </si>
  <si>
    <t>marches_taxes_communale_unite</t>
  </si>
  <si>
    <t>marches_taxes_communale_unite_autre</t>
  </si>
  <si>
    <t>marches_taxes_communale_prix</t>
  </si>
  <si>
    <t>marches_taxes_communale_versement</t>
  </si>
  <si>
    <t>marches_taxes_communale_versement_autre</t>
  </si>
  <si>
    <t>marches_taxes_abattage_unite</t>
  </si>
  <si>
    <t>marches_taxes_abattage_unite_autre</t>
  </si>
  <si>
    <t>marches_taxes_abattage_prix</t>
  </si>
  <si>
    <t>marches_taxes_abattage_versement</t>
  </si>
  <si>
    <t>marches_taxes_abattage_versement_autre</t>
  </si>
  <si>
    <t>marches_taxes_crus_unite</t>
  </si>
  <si>
    <t>marches_taxes_crus_unite_autre</t>
  </si>
  <si>
    <t>marches_taxes_crus_prix</t>
  </si>
  <si>
    <t>marches_taxes_crus_versement</t>
  </si>
  <si>
    <t>marches_taxes_crus_versement_autre</t>
  </si>
  <si>
    <t>marches_taxes_autre</t>
  </si>
  <si>
    <t>marches_taxes_autre_unite</t>
  </si>
  <si>
    <t>marches_taxes_autre_unite_autre</t>
  </si>
  <si>
    <t>marches_taxes_autre_prix</t>
  </si>
  <si>
    <t>marches_taxes_autre_versement</t>
  </si>
  <si>
    <t>marches_taxes_autre_versement_autre</t>
  </si>
  <si>
    <t>marches_construction/chef_communautaire</t>
  </si>
  <si>
    <t>marches_construction/proprietaire</t>
  </si>
  <si>
    <t>marches_construction/religieux</t>
  </si>
  <si>
    <t>marches_acteurs_locaux/ape</t>
  </si>
  <si>
    <t>875621a1-206c-4a79-a0f6-54767d692746</t>
  </si>
  <si>
    <t>2020-10-17T09:41:16.019+01</t>
  </si>
  <si>
    <t>2020-10-17T10:15:35.359+01</t>
  </si>
  <si>
    <t>2020-10-17</t>
  </si>
  <si>
    <t>356676102912489</t>
  </si>
  <si>
    <t>basse_kotto</t>
  </si>
  <si>
    <t>kembe</t>
  </si>
  <si>
    <t>Administration coloniale Francaise</t>
  </si>
  <si>
    <t>securite</t>
  </si>
  <si>
    <t>ressources_fin materiel equipement professeurs_qualifies insecurite vols sur_utilisation</t>
  </si>
  <si>
    <t>equipements constructions materiel_didactique formations_mp formations_ape</t>
  </si>
  <si>
    <t>subventions equipements personnels constructions materiel_didactique formations_mp formation_admin formations_ape</t>
  </si>
  <si>
    <t>2020-10-22T16:52:56</t>
  </si>
  <si>
    <t>c1afae64-4dc8-43b0-a84a-2e4dc7be00ca</t>
  </si>
  <si>
    <t>2020-10-17T10:29:10.550+01</t>
  </si>
  <si>
    <t>2020-10-17T10:44:10.618+01</t>
  </si>
  <si>
    <t>Institut Biblique Ibk</t>
  </si>
  <si>
    <t>un_an_trois_ans</t>
  </si>
  <si>
    <t>Missionnaire Allemand</t>
  </si>
  <si>
    <t>subventions equipements personnels rehabilitations constructions materiel_didactique</t>
  </si>
  <si>
    <t>2020-10-22T16:53:16</t>
  </si>
  <si>
    <t>9285aaf8-24e1-4217-a9c1-29633150882a</t>
  </si>
  <si>
    <t>2020-10-17T12:24:45.925+01</t>
  </si>
  <si>
    <t>2020-10-17T12:51:01.094+01</t>
  </si>
  <si>
    <t>École coranique de Kembe</t>
  </si>
  <si>
    <t>communaute religieux</t>
  </si>
  <si>
    <t>fuite_enseignants autre</t>
  </si>
  <si>
    <t>Manque de moyen de transport pour déployer les enseignants de Bangui</t>
  </si>
  <si>
    <t>fuite</t>
  </si>
  <si>
    <t>ressources_fin materiel equipement professeurs_qualifies insecurite vols sur_utilisation autre</t>
  </si>
  <si>
    <t>leaders_religieux ape</t>
  </si>
  <si>
    <t>2020-10-22T16:53:28</t>
  </si>
  <si>
    <t>3bbaf67d-17ef-4c57-af0b-251899673344</t>
  </si>
  <si>
    <t>2020-10-14T14:33:16.600+01</t>
  </si>
  <si>
    <t>2020-10-14T16:52:40.248+01</t>
  </si>
  <si>
    <t>2020-10-14</t>
  </si>
  <si>
    <t>356676102912786</t>
  </si>
  <si>
    <t>École centre fille</t>
  </si>
  <si>
    <t>moins_diplomes</t>
  </si>
  <si>
    <t>gvt ape</t>
  </si>
  <si>
    <t>materiel_didactique formations_mp formations_ape</t>
  </si>
  <si>
    <t>d870e54b-f77a-47d0-afd2-a1c89c643817</t>
  </si>
  <si>
    <t>2020-10-14T15:41:26.442+01</t>
  </si>
  <si>
    <t>2020-10-14T16:12:33.831+01</t>
  </si>
  <si>
    <t>École centre 1 et 2</t>
  </si>
  <si>
    <t>ecole_endommagee</t>
  </si>
  <si>
    <t>moyens_entretien saison_pluies ga vandalisme</t>
  </si>
  <si>
    <t>appauvrissement ga exploitation_miniere enrolement</t>
  </si>
  <si>
    <t>decouragement fuite autre</t>
  </si>
  <si>
    <t>2020-10-22T16:53:44</t>
  </si>
  <si>
    <t>7e2adfc5-826f-4385-bd79-bea05e778b45</t>
  </si>
  <si>
    <t>2020-10-20T15:06:25.488+01</t>
  </si>
  <si>
    <t>2020-10-20T15:12:23.709+01</t>
  </si>
  <si>
    <t>2020-10-20</t>
  </si>
  <si>
    <t>endommage</t>
  </si>
  <si>
    <t>plus_trois_ans</t>
  </si>
  <si>
    <t>une_heure</t>
  </si>
  <si>
    <t>materiel respect_mode_gestion mauvaise_qualite</t>
  </si>
  <si>
    <t>dotation_materiaux construction</t>
  </si>
  <si>
    <t>2020-10-22T16:53:47</t>
  </si>
  <si>
    <t>821bd6f4-d5e3-4668-b6a5-f0cbd24cbdc5</t>
  </si>
  <si>
    <t>2020-10-17T09:58:58.811+01</t>
  </si>
  <si>
    <t>2020-10-17T10:35:48.761+01</t>
  </si>
  <si>
    <t>Marché Central de Kembe</t>
  </si>
  <si>
    <t>alimentaires semences nfi hygiene medicaments materiel_scolaire</t>
  </si>
  <si>
    <t>matin</t>
  </si>
  <si>
    <t>Insécurité a Pombolo</t>
  </si>
  <si>
    <t>commercants_producteurs</t>
  </si>
  <si>
    <t>Tous les jours</t>
  </si>
  <si>
    <t>achat_groupe_grossistes autre</t>
  </si>
  <si>
    <t>Dès que nécessaire en fonction des activités</t>
  </si>
  <si>
    <t>La semaine, juste les habitants de Kembe mais le marché du samedi attiré les personnes même de Limassa a 60km</t>
  </si>
  <si>
    <t>emplacement autre</t>
  </si>
  <si>
    <t>Petits commerçants c'est tous les jours, pour les boutiquiers c'est par semaine</t>
  </si>
  <si>
    <t>Toutes les taxes sont payees aux Selekas</t>
  </si>
  <si>
    <t>Normalement chaque trimestre mais il arrive qu'ils viennent réclamer en plus chaque semaine</t>
  </si>
  <si>
    <t>manque_ressources_fin manque_infra mauvaise_routes vols_materiel autre</t>
  </si>
  <si>
    <t>Manque place, marché non couvert, vente au sol. Commerçants ont perdu leurs marchandises avec la crise</t>
  </si>
  <si>
    <t>subventions rehabilitation_marches autre</t>
  </si>
  <si>
    <t>Appui financier aux commerçants</t>
  </si>
  <si>
    <t>2020-10-22T16:53:53</t>
  </si>
  <si>
    <t>6d97c16b-7ed7-4771-b17c-2d3410ff26c0</t>
  </si>
  <si>
    <t>2020-10-17T11:11:24.739+01</t>
  </si>
  <si>
    <t>2020-10-17T11:27:18.613+01</t>
  </si>
  <si>
    <t>Petit marché Gare routière</t>
  </si>
  <si>
    <t>alimentaires semences nfi hygiene</t>
  </si>
  <si>
    <t>Soir - entre 15h et 18h</t>
  </si>
  <si>
    <t>insecurite_localite autre</t>
  </si>
  <si>
    <t>Insécurité de Pombolo</t>
  </si>
  <si>
    <t>Dès que nécessaire, dès qu'ils n'ont plus de marchandises</t>
  </si>
  <si>
    <t>Non applicable</t>
  </si>
  <si>
    <t>association autre</t>
  </si>
  <si>
    <t>Même association que celle du marché central</t>
  </si>
  <si>
    <t>manque_infra autre</t>
  </si>
  <si>
    <t>Insalubrité, vente au sol, si il pleut le marché est catastrophique</t>
  </si>
  <si>
    <t>Appui financier aux commerçants pour la relance de leurs activités</t>
  </si>
  <si>
    <t>2020-10-22T16:54:05</t>
  </si>
  <si>
    <t>e8adf3a7-1869-4509-952d-42142fed4c83</t>
  </si>
  <si>
    <t>2020-10-21T10:30:17.573+01</t>
  </si>
  <si>
    <t>2020-10-21T11:58:16.221+01</t>
  </si>
  <si>
    <t>2020-10-21</t>
  </si>
  <si>
    <t>Adonai ELIM</t>
  </si>
  <si>
    <t>materiaux_rehab equipements personnels rehabilitations constructions materiel_didactique formations_mp</t>
  </si>
  <si>
    <t>2020-10-22T16:54:08</t>
  </si>
  <si>
    <t>6c511121-3a8c-4629-81fd-b2d1f4bc2a7b</t>
  </si>
  <si>
    <t>2020-10-17T11:41:26.577+01</t>
  </si>
  <si>
    <t>2020-10-17T11:57:15.718+01</t>
  </si>
  <si>
    <t>Marché Mambissi</t>
  </si>
  <si>
    <t>alimentaires</t>
  </si>
  <si>
    <t>Approvisionnement tous les jours</t>
  </si>
  <si>
    <t>Aucune</t>
  </si>
  <si>
    <t>chef_communautaire</t>
  </si>
  <si>
    <t>Chefs de quartier</t>
  </si>
  <si>
    <t>Comité de la jeunesse</t>
  </si>
  <si>
    <t>Insalubrité, pas assez de place, pas de hangar</t>
  </si>
  <si>
    <t>subventions materiaux_rehab autre</t>
  </si>
  <si>
    <t>Distribution de matériel pour nettoyer le marché (brouette), appui financier aux femmes commerçantes pour relancer leurs activités</t>
  </si>
  <si>
    <t>2020-10-22T16:54:14</t>
  </si>
  <si>
    <t>e95d6fdb-deb5-40e5-8746-8fe25e29a6da</t>
  </si>
  <si>
    <t>2020-10-19T16:23:16.440+01</t>
  </si>
  <si>
    <t>2020-10-19T16:26:24.974+01</t>
  </si>
  <si>
    <t>2020-10-19</t>
  </si>
  <si>
    <t>vol_equipement</t>
  </si>
  <si>
    <t>2020-10-22T16:54:28</t>
  </si>
  <si>
    <t>e117cde8-f985-47fe-9a6e-004ac8d6b608</t>
  </si>
  <si>
    <t>2020-10-21T11:14:18.910+01</t>
  </si>
  <si>
    <t>2020-10-21T11:32:35.275+01</t>
  </si>
  <si>
    <t>alimentaires semences medicaments</t>
  </si>
  <si>
    <t>nuit</t>
  </si>
  <si>
    <t>acces_terre</t>
  </si>
  <si>
    <t>deplacement_population</t>
  </si>
  <si>
    <t>Pas de ticket à payer</t>
  </si>
  <si>
    <t>À personne</t>
  </si>
  <si>
    <t>Le chef du quartier</t>
  </si>
  <si>
    <t>chef_quartiers chef_village</t>
  </si>
  <si>
    <t>manque_infra mauvaise_routes insecurite_axes insecurite_localite</t>
  </si>
  <si>
    <t>rehabilitation_marches</t>
  </si>
  <si>
    <t>2020-10-22T16:54:29</t>
  </si>
  <si>
    <t>7a53a548-e61e-496a-aa97-f719e340dd2e</t>
  </si>
  <si>
    <t>2020-10-19T16:26:50.797+01</t>
  </si>
  <si>
    <t>2020-10-19T16:31:23.745+01</t>
  </si>
  <si>
    <t>vol_equipement assechement_source</t>
  </si>
  <si>
    <t>dotation_equipements personnel_maintenance rehab_equipements construction</t>
  </si>
  <si>
    <t>2020-10-22T16:54:38</t>
  </si>
  <si>
    <t>601a6337-f570-427b-b906-6124263f9ac0</t>
  </si>
  <si>
    <t>2020-10-19T16:57:17.623+01</t>
  </si>
  <si>
    <t>2020-10-19T17:00:05.695+01</t>
  </si>
  <si>
    <t>moins_trente_min</t>
  </si>
  <si>
    <t>proprietaire</t>
  </si>
  <si>
    <t>respect_mode_gestion mauvaise_qualite</t>
  </si>
  <si>
    <t>2020-10-22T16:54:51</t>
  </si>
  <si>
    <t>850e7d3a-7293-4f83-836f-6ea1dea49a66</t>
  </si>
  <si>
    <t>2020-10-14T14:33:17.815+01</t>
  </si>
  <si>
    <t>2020-10-14T15:49:53.126+01</t>
  </si>
  <si>
    <t>356676102912208</t>
  </si>
  <si>
    <t>rougeole tuberculose polio autre</t>
  </si>
  <si>
    <t>nouveaux_soins autre</t>
  </si>
  <si>
    <t>Arrivée du médecin chef depuis 1 mois</t>
  </si>
  <si>
    <t>sur_utilise</t>
  </si>
  <si>
    <t>ressources_fin medicaments_nb medicaments_qualite equipements personnels communication insecurite sur_utilisation information</t>
  </si>
  <si>
    <t>gvt ong_Internationales</t>
  </si>
  <si>
    <t>dotation_materiaux medicaments personnel dotation_equipements_medicaux dotation_equipements_maintenance formations_techniques</t>
  </si>
  <si>
    <t>symptomes propagation lavage_mains</t>
  </si>
  <si>
    <t>2020-10-22T16:57:50</t>
  </si>
  <si>
    <t>2020-10-14T16:43:40.777+01</t>
  </si>
  <si>
    <t>2020-10-14T17:07:23.980+01</t>
  </si>
  <si>
    <t>Centre de santé urbain de Kembe</t>
  </si>
  <si>
    <t>consult_curatives consult_prenatales accouchement maladies_infectieuses urgences_vitales pediatrie maternite</t>
  </si>
  <si>
    <t>preval rougeole tuberculose polio autre</t>
  </si>
  <si>
    <t>Tetanos et Fièvre jaune</t>
  </si>
  <si>
    <t>Les personnes commencent à revenir dans la ville, suite à la crise de 2017</t>
  </si>
  <si>
    <t>ressources_fin medicaments_nb equipements personnels insecurite vols</t>
  </si>
  <si>
    <t>medicaments dotation_equipements_medicaux</t>
  </si>
  <si>
    <t>mesures_preventions</t>
  </si>
  <si>
    <t>2020-10-22T16:58:39</t>
  </si>
  <si>
    <t>4365249c-1d05-4cf3-8629-59739c71296f</t>
  </si>
  <si>
    <t>2020-10-14T11:04:43.363+01</t>
  </si>
  <si>
    <t>2020-10-14T11:15:23.984+01</t>
  </si>
  <si>
    <t>356676102910582</t>
  </si>
  <si>
    <t>moins_trente_minutes</t>
  </si>
  <si>
    <t>autorités</t>
  </si>
  <si>
    <t>corruption</t>
  </si>
  <si>
    <t>2020-10-22T17:38:45</t>
  </si>
  <si>
    <t>af47704c-73af-4168-9d66-b6870bec9967</t>
  </si>
  <si>
    <t>2020-10-14T14:38:18.060+01</t>
  </si>
  <si>
    <t>2020-10-14T14:50:10.091+01</t>
  </si>
  <si>
    <t>pompe_main</t>
  </si>
  <si>
    <t>moins_une_heure</t>
  </si>
  <si>
    <t>prix_maintenance</t>
  </si>
  <si>
    <t>respect_mode_gestion</t>
  </si>
  <si>
    <t>sensibilisation</t>
  </si>
  <si>
    <t>2020-10-22T17:39:33</t>
  </si>
  <si>
    <t>b1b3689d-614c-4684-9922-2a91b3dc3b86</t>
  </si>
  <si>
    <t>2020-10-14T15:20:28.905+01</t>
  </si>
  <si>
    <t>2020-10-14T15:27:15.248+01</t>
  </si>
  <si>
    <t>2020-10-22T17:40:25</t>
  </si>
  <si>
    <t>a6e82609-ba56-4f33-aebe-4018b532fa26</t>
  </si>
  <si>
    <t>2020-10-14T15:30:47.403+01</t>
  </si>
  <si>
    <t>2020-10-14T15:36:56.395+01</t>
  </si>
  <si>
    <t>contamination vol_equipement assechement_source</t>
  </si>
  <si>
    <t>dotation_equipements personnel_maintenance rehab_equipements construction rehabilitation</t>
  </si>
  <si>
    <t>2020-10-22T17:42:31</t>
  </si>
  <si>
    <t xml:space="preserve">Pompe manuelle </t>
  </si>
  <si>
    <t>Présence d'un COGES ?</t>
  </si>
  <si>
    <t xml:space="preserve">ENDOMMAGE mais fonctionne toujours </t>
  </si>
  <si>
    <t>Si endommagés, quels sont les besoins ?</t>
  </si>
  <si>
    <t xml:space="preserve">Si endommagés, depuis combien de temps ? </t>
  </si>
  <si>
    <t xml:space="preserve">Moins de 6 mois </t>
  </si>
  <si>
    <t xml:space="preserve">Entre 6 mois et 1 an </t>
  </si>
  <si>
    <t xml:space="preserve">Entre 1 an et 3 ans </t>
  </si>
  <si>
    <t xml:space="preserve">Plus de 3 ans </t>
  </si>
  <si>
    <t xml:space="preserve">Si non fonctionnel, depuis combien de temps ? </t>
  </si>
  <si>
    <t xml:space="preserve">Oui elle est potable  </t>
  </si>
  <si>
    <t xml:space="preserve">Oui même si elle n'est pas potable  </t>
  </si>
  <si>
    <t xml:space="preserve">Oui avec traitement de l'eau  </t>
  </si>
  <si>
    <t xml:space="preserve">Non </t>
  </si>
  <si>
    <t xml:space="preserve">Temps de marche pour puiser l'eau ? </t>
  </si>
  <si>
    <t xml:space="preserve">Moins de 30 minutes </t>
  </si>
  <si>
    <t xml:space="preserve">Entre 30 minutes et 1h </t>
  </si>
  <si>
    <t xml:space="preserve">Entre 1h et 2h </t>
  </si>
  <si>
    <t xml:space="preserve">Entre 2h et 3h </t>
  </si>
  <si>
    <t xml:space="preserve">Plus de 3h </t>
  </si>
  <si>
    <t xml:space="preserve">Temps d'attente pour puiser l'eau ? </t>
  </si>
  <si>
    <t>Moins de 30 minutes</t>
  </si>
  <si>
    <t xml:space="preserve">Plus d'1h </t>
  </si>
  <si>
    <t xml:space="preserve">Plus de 2h </t>
  </si>
  <si>
    <t xml:space="preserve">nsp </t>
  </si>
  <si>
    <t xml:space="preserve">La fréquentation a-t-elle changé avec les événements ?  </t>
  </si>
  <si>
    <t xml:space="preserve">TOTAL fonctionnels </t>
  </si>
  <si>
    <r>
      <t xml:space="preserve">Proportion 
</t>
    </r>
    <r>
      <rPr>
        <i/>
        <sz val="9"/>
        <color theme="1"/>
        <rFont val="Arial Narrow"/>
        <family val="2"/>
      </rPr>
      <t xml:space="preserve">(des points d'eau fonctionnels) </t>
    </r>
  </si>
  <si>
    <t xml:space="preserve">Autre point d'eau réhabilité à proximité   </t>
  </si>
  <si>
    <t xml:space="preserve">Insécurité dans la zone  </t>
  </si>
  <si>
    <t xml:space="preserve">Diminution de la population de la localité  </t>
  </si>
  <si>
    <t xml:space="preserve">Les habitants utilisent des points d'eau privés </t>
  </si>
  <si>
    <t xml:space="preserve">Le point d'eau a été endommagé par les événements  </t>
  </si>
  <si>
    <t>La Mairie</t>
  </si>
  <si>
    <t>La communauté elle-même</t>
  </si>
  <si>
    <t xml:space="preserve">Un chef de quartier/groupement </t>
  </si>
  <si>
    <t xml:space="preserve">Le propriétaire/gestionnaire du service </t>
  </si>
  <si>
    <t>Le secteur privé</t>
  </si>
  <si>
    <t>ONG Internationales</t>
  </si>
  <si>
    <t xml:space="preserve">Acteur religieux </t>
  </si>
  <si>
    <t>Services déconcentrés de l'Etat</t>
  </si>
  <si>
    <t>par bidon de 25L</t>
  </si>
  <si>
    <t xml:space="preserve">La Mairie  </t>
  </si>
  <si>
    <t xml:space="preserve">La communauté elle-même  </t>
  </si>
  <si>
    <t xml:space="preserve">Le ménage propriétaire de l'infrastructure  </t>
  </si>
  <si>
    <t>Collecteur redevance ?</t>
  </si>
  <si>
    <t xml:space="preserve">Le constructeur </t>
  </si>
  <si>
    <t>Un comité de gestion</t>
  </si>
  <si>
    <t>Mécanismes de sanction ?</t>
  </si>
  <si>
    <t>Ne sait pas</t>
  </si>
  <si>
    <t xml:space="preserve">Manque de matériel </t>
  </si>
  <si>
    <t xml:space="preserve">Manque de personnel qualifiés </t>
  </si>
  <si>
    <t xml:space="preserve">Non respect des règles de gestion de la part les usagers </t>
  </si>
  <si>
    <t xml:space="preserve">Mauvaise qualité ou manque d'eau </t>
  </si>
  <si>
    <t xml:space="preserve">Manque de moyens pour la maintenance </t>
  </si>
  <si>
    <t xml:space="preserve">Aucune </t>
  </si>
  <si>
    <t xml:space="preserve">Personnels de la Mairie </t>
  </si>
  <si>
    <t xml:space="preserve">ONG locales  </t>
  </si>
  <si>
    <t xml:space="preserve">ONG nationales </t>
  </si>
  <si>
    <t xml:space="preserve">ONG Internationales </t>
  </si>
  <si>
    <t xml:space="preserve">Leaders communautaires </t>
  </si>
  <si>
    <t xml:space="preserve">Chef de quartiers  </t>
  </si>
  <si>
    <t xml:space="preserve">Chef de groupement/arrondissement </t>
  </si>
  <si>
    <t xml:space="preserve">Leaders religieux  </t>
  </si>
  <si>
    <t>APE</t>
  </si>
  <si>
    <r>
      <t xml:space="preserve">Proportion 
</t>
    </r>
    <r>
      <rPr>
        <i/>
        <sz val="9"/>
        <color theme="1"/>
        <rFont val="Arial Narrow"/>
        <family val="2"/>
      </rPr>
      <t xml:space="preserve">(des points d'eau payants) </t>
    </r>
  </si>
  <si>
    <t>Les usagers eux-mêmes</t>
  </si>
  <si>
    <t>Le gouvernement</t>
  </si>
  <si>
    <t>Les ONG locales</t>
  </si>
  <si>
    <t>Les ONG Internationales</t>
  </si>
  <si>
    <t xml:space="preserve">Dotations de matériaux de construction  </t>
  </si>
  <si>
    <t xml:space="preserve">Appui pour la maintenance - techniciens  </t>
  </si>
  <si>
    <t>Subventions directes (de l'argent)</t>
  </si>
  <si>
    <t xml:space="preserve">Construction d'infrastructures a proximité  </t>
  </si>
  <si>
    <t xml:space="preserve">Réhabilitation d'infrastructures a proximité  </t>
  </si>
  <si>
    <t>Sensibilisation communautaire</t>
  </si>
  <si>
    <t xml:space="preserve">Formations pour la gestion du service  </t>
  </si>
  <si>
    <t xml:space="preserve">Statut ? </t>
  </si>
  <si>
    <t xml:space="preserve">Type ? </t>
  </si>
  <si>
    <t xml:space="preserve">Fonctionnelles ? </t>
  </si>
  <si>
    <t>PARTIELLEMENT</t>
  </si>
  <si>
    <t xml:space="preserve">Infrastructure détruite </t>
  </si>
  <si>
    <t xml:space="preserve">Pillages du mobilier et des équipements  </t>
  </si>
  <si>
    <t xml:space="preserve">Plus de ressources financières pour le fonctionnement du service </t>
  </si>
  <si>
    <t xml:space="preserve">Plus de ressources financières pour la maintenance/équipement </t>
  </si>
  <si>
    <t xml:space="preserve">Plus d'enseignants disponibles </t>
  </si>
  <si>
    <t xml:space="preserve">Insécurité trop grande </t>
  </si>
  <si>
    <t xml:space="preserve">Fermeture temporaire à cause du Covid-19 </t>
  </si>
  <si>
    <t xml:space="preserve">Infrastructure endommagée </t>
  </si>
  <si>
    <t xml:space="preserve">Salles de classe insuffisantes </t>
  </si>
  <si>
    <t>Manque de ressources financières pour le fonctionnement</t>
  </si>
  <si>
    <t xml:space="preserve">Manque de ressources financières pour l'entretien de l'école </t>
  </si>
  <si>
    <t xml:space="preserve">Manque d'enseignants qualifiés </t>
  </si>
  <si>
    <t>Manque de mobilier et de matériel scolaire</t>
  </si>
  <si>
    <t xml:space="preserve">Si partiellement fonctionnelles, depuis combien de temps ? </t>
  </si>
  <si>
    <t xml:space="preserve">Si non fonctionnelles, depuis combien de temps ? </t>
  </si>
  <si>
    <t xml:space="preserve">Si non fonctionnelles, pourquoi ? </t>
  </si>
  <si>
    <t xml:space="preserve">Si partiellement fonctionnelles, pourquoi ? </t>
  </si>
  <si>
    <t xml:space="preserve">L'école présente des dommages matériels, pourquoi ? </t>
  </si>
  <si>
    <t xml:space="preserve">Forte saison des pluies - dommages chaque année  </t>
  </si>
  <si>
    <r>
      <t xml:space="preserve">Proportion 
</t>
    </r>
    <r>
      <rPr>
        <i/>
        <sz val="9"/>
        <color theme="1"/>
        <rFont val="Arial Narrow"/>
        <family val="2"/>
      </rPr>
      <t>(des écoles endommagées)</t>
    </r>
  </si>
  <si>
    <t xml:space="preserve">Grade ? </t>
  </si>
  <si>
    <t xml:space="preserve">Fondamental 1 </t>
  </si>
  <si>
    <t xml:space="preserve">Fondamental 2 </t>
  </si>
  <si>
    <t xml:space="preserve">Enseignement technique et professionnel </t>
  </si>
  <si>
    <t xml:space="preserve">Ecole coranique </t>
  </si>
  <si>
    <t xml:space="preserve">Capacité à payer les frais de fonctionnement ? </t>
  </si>
  <si>
    <r>
      <t xml:space="preserve">Nombre moyen d'élèves par école </t>
    </r>
    <r>
      <rPr>
        <sz val="9"/>
        <color theme="1"/>
        <rFont val="Arial Narrow"/>
        <family val="2"/>
      </rPr>
      <t>(pour TOUTES les écoles fonctionnelles)</t>
    </r>
    <r>
      <rPr>
        <i/>
        <sz val="12"/>
        <color theme="1"/>
        <rFont val="Arial Narrow"/>
        <family val="2"/>
      </rPr>
      <t xml:space="preserve"> : </t>
    </r>
  </si>
  <si>
    <r>
      <t xml:space="preserve">Nombre moyen de salles de classes </t>
    </r>
    <r>
      <rPr>
        <i/>
        <sz val="9"/>
        <color theme="1"/>
        <rFont val="Arial Narrow"/>
        <family val="2"/>
      </rPr>
      <t xml:space="preserve">(pour TOUTES les écoles fonctionnelles) </t>
    </r>
    <r>
      <rPr>
        <i/>
        <sz val="12"/>
        <color theme="1"/>
        <rFont val="Arial Narrow"/>
        <family val="2"/>
      </rPr>
      <t xml:space="preserve">: </t>
    </r>
  </si>
  <si>
    <t xml:space="preserve">élèves par classe </t>
  </si>
  <si>
    <r>
      <t xml:space="preserve">Nombre moyen d'élèves par école </t>
    </r>
    <r>
      <rPr>
        <i/>
        <sz val="9"/>
        <color theme="1"/>
        <rFont val="Arial Narrow"/>
        <family val="2"/>
      </rPr>
      <t xml:space="preserve">(pour les écoles PUBLIQUES </t>
    </r>
    <r>
      <rPr>
        <sz val="9"/>
        <color theme="1"/>
        <rFont val="Arial Narrow"/>
        <family val="2"/>
      </rPr>
      <t xml:space="preserve">fonctionnelles) </t>
    </r>
    <r>
      <rPr>
        <i/>
        <sz val="12"/>
        <color theme="1"/>
        <rFont val="Arial Narrow"/>
        <family val="2"/>
      </rPr>
      <t xml:space="preserve"> : </t>
    </r>
  </si>
  <si>
    <r>
      <t xml:space="preserve">Nombre de salles de classe </t>
    </r>
    <r>
      <rPr>
        <i/>
        <sz val="9"/>
        <color theme="1"/>
        <rFont val="Arial Narrow"/>
        <family val="2"/>
      </rPr>
      <t xml:space="preserve">(pour les écoles PUBLIQUES fonctionnelles) </t>
    </r>
    <r>
      <rPr>
        <i/>
        <sz val="11"/>
        <color theme="1"/>
        <rFont val="Arial Narrow"/>
        <family val="2"/>
      </rPr>
      <t xml:space="preserve">: </t>
    </r>
  </si>
  <si>
    <r>
      <t xml:space="preserve">Nombre moyen de garçons par école </t>
    </r>
    <r>
      <rPr>
        <i/>
        <sz val="9"/>
        <color theme="1"/>
        <rFont val="Arial Narrow"/>
        <family val="2"/>
      </rPr>
      <t>(pour TOUTES les écoles fonctionnelles)</t>
    </r>
    <r>
      <rPr>
        <i/>
        <sz val="12"/>
        <color theme="1"/>
        <rFont val="Arial Narrow"/>
        <family val="2"/>
      </rPr>
      <t xml:space="preserve"> : </t>
    </r>
  </si>
  <si>
    <r>
      <rPr>
        <i/>
        <sz val="12"/>
        <color theme="1"/>
        <rFont val="Arial Narrow"/>
        <family val="2"/>
      </rPr>
      <t>Nombre moyen de filles par école</t>
    </r>
    <r>
      <rPr>
        <i/>
        <sz val="11"/>
        <color theme="1"/>
        <rFont val="Arial Narrow"/>
        <family val="2"/>
      </rPr>
      <t xml:space="preserve"> </t>
    </r>
    <r>
      <rPr>
        <i/>
        <sz val="9"/>
        <color theme="1"/>
        <rFont val="Arial Narrow"/>
        <family val="2"/>
      </rPr>
      <t>(pour TOUTES les écoles fonctionnelles)</t>
    </r>
    <r>
      <rPr>
        <i/>
        <sz val="11"/>
        <color theme="1"/>
        <rFont val="Arial Narrow"/>
        <family val="2"/>
      </rPr>
      <t xml:space="preserve"> :</t>
    </r>
  </si>
  <si>
    <t xml:space="preserve">Activités de sensibilisation à l'éducation menées dans la localité </t>
  </si>
  <si>
    <t xml:space="preserve">Appauvrissement des familles - les enfants doivent travailler  </t>
  </si>
  <si>
    <t xml:space="preserve">Peur des groupes armés dans la localité ou à proximité </t>
  </si>
  <si>
    <t>Manque de materiel</t>
  </si>
  <si>
    <r>
      <t xml:space="preserve">Proportion 
</t>
    </r>
    <r>
      <rPr>
        <sz val="9"/>
        <color theme="1"/>
        <rFont val="Arial Narrow"/>
        <family val="2"/>
      </rPr>
      <t xml:space="preserve">(des écoles fonctionnelles) </t>
    </r>
  </si>
  <si>
    <t>TOTAL  fonctionnelles</t>
  </si>
  <si>
    <t xml:space="preserve">Changement des effectifs depuis ces deux dernières années ? </t>
  </si>
  <si>
    <t xml:space="preserve">Changement du coût de la scolarité depuis ces deux dernières années ? </t>
  </si>
  <si>
    <t xml:space="preserve">Manque d'enseignants qualifiés  </t>
  </si>
  <si>
    <t>Manque de sécurité et présence de groupes armés</t>
  </si>
  <si>
    <t>Vols et pillages du matériel pédagogique</t>
  </si>
  <si>
    <t>Sur-utilisation et pression sur service</t>
  </si>
  <si>
    <t xml:space="preserve">Services déconcentrés de l'Etat </t>
  </si>
  <si>
    <t>ecoles_acteurs_locaux/chef_groupement</t>
  </si>
  <si>
    <t>chef_quartiers</t>
  </si>
  <si>
    <t>Dotations d'équipements</t>
  </si>
  <si>
    <t>Réhabilitation des bâtiments et infrastructures</t>
  </si>
  <si>
    <t>Construction de salles de classe et d'infrastructures</t>
  </si>
  <si>
    <t>Matériel didactique</t>
  </si>
  <si>
    <t>École Koropo</t>
  </si>
  <si>
    <t>Marché Cafbangui</t>
  </si>
  <si>
    <t>Soir - entre 15h a 18h</t>
  </si>
  <si>
    <t xml:space="preserve">Si oui, dans quelle mesure ? </t>
  </si>
  <si>
    <t xml:space="preserve">Fermeture à cause de l’insécurité </t>
  </si>
  <si>
    <t xml:space="preserve">Fermeture à cause du Covid-19  </t>
  </si>
  <si>
    <t>Problème d’accès aux champs (agriculteurs)</t>
  </si>
  <si>
    <t xml:space="preserve">Les taxes sont trop nombreuses et/ou trop chères </t>
  </si>
  <si>
    <t xml:space="preserve">Commerçants partis s'approvisionnés ailleurs  </t>
  </si>
  <si>
    <t xml:space="preserve">Les prix ont baissé (faibles bénéfices)  </t>
  </si>
  <si>
    <t xml:space="preserve">Changement du nb de commerçants depuis ces deux dernières années? </t>
  </si>
  <si>
    <t xml:space="preserve">Fréquence </t>
  </si>
  <si>
    <t xml:space="preserve">1 fois par semaine  </t>
  </si>
  <si>
    <t xml:space="preserve">1 fois par mois  </t>
  </si>
  <si>
    <t xml:space="preserve">1 fois tous les 2-3 mois  </t>
  </si>
  <si>
    <t>=&gt;Dès que nécessaire</t>
  </si>
  <si>
    <t xml:space="preserve">Changement depuis ces deux dernières années ? </t>
  </si>
  <si>
    <t xml:space="preserve">Si oui, dans quelle mesure  ? </t>
  </si>
  <si>
    <t>Nature des taxes ?</t>
  </si>
  <si>
    <t xml:space="preserve">Taxe sur le transport des marchandises </t>
  </si>
  <si>
    <t xml:space="preserve">Taxe pour l'emplacement sur le marché </t>
  </si>
  <si>
    <t xml:space="preserve">Taxe d'abattage </t>
  </si>
  <si>
    <t>Taxe sur les produits de cru</t>
  </si>
  <si>
    <t xml:space="preserve">Coût de la taxe communale (emplacement) ? </t>
  </si>
  <si>
    <t>Aucune taxe - même commerçants que ceux du marché central donc payent une fois au niveau du marché Central</t>
  </si>
  <si>
    <t xml:space="preserve">=&gt; uniquement sur le marché central </t>
  </si>
  <si>
    <t>XAF / jour</t>
  </si>
  <si>
    <t xml:space="preserve">Coût des autres taxes ? </t>
  </si>
  <si>
    <t xml:space="preserve">=&gt; taxes payées au groupe armé, trimestriellement </t>
  </si>
  <si>
    <t xml:space="preserve">=&gt; Les chefs de quartiers </t>
  </si>
  <si>
    <t xml:space="preserve">Manque d'infrastructure sur le marché </t>
  </si>
  <si>
    <t xml:space="preserve">Taxes abusives (groupes armées ou mairie)  </t>
  </si>
  <si>
    <t xml:space="preserve">Incapacité d'approvisionnement rapide  </t>
  </si>
  <si>
    <t xml:space="preserve">Pénurie de certains produits dans la zone </t>
  </si>
  <si>
    <t xml:space="preserve">Manque de sécurité sur les axes </t>
  </si>
  <si>
    <t>Manque de sécurité dans la localité</t>
  </si>
  <si>
    <t>Augmentation des prix en raison des distributions humanitaires</t>
  </si>
  <si>
    <t>=&gt; insalubrité et manque d'aménagement avec un marché couvert</t>
  </si>
  <si>
    <t>chef_quartiers leaders_communautaires</t>
  </si>
  <si>
    <t xml:space="preserve">Distribution de matériaux de réhabilitation  </t>
  </si>
  <si>
    <t>Des subventions directes</t>
  </si>
  <si>
    <t>Réhabilitation du marché</t>
  </si>
  <si>
    <t>=&gt; appui financier aux commerçants et distribution de matériel pour l'entretien</t>
  </si>
  <si>
    <t>Hôpital de district</t>
  </si>
  <si>
    <t>Infrastructure détruite</t>
  </si>
  <si>
    <t xml:space="preserve">Aucun approvisionnement en électricité ou eau potable  </t>
  </si>
  <si>
    <t xml:space="preserve">Aucun approvisionnement en medicaments  </t>
  </si>
  <si>
    <t xml:space="preserve">Plus de personnel médical qualifié </t>
  </si>
  <si>
    <t xml:space="preserve">Manque de mobilier et d'équipements (lits, brancards, matériel médical, etc.)  </t>
  </si>
  <si>
    <t xml:space="preserve">Faibles capacités d'accueil des patients </t>
  </si>
  <si>
    <t xml:space="preserve">Problèmes d'approvisionnement en électricité ou eau potable  </t>
  </si>
  <si>
    <t>Manque de ressources financières pour le fonctionnement du service</t>
  </si>
  <si>
    <t>Manque de ressources financières pour la maintenance</t>
  </si>
  <si>
    <t xml:space="preserve">Faible approvisionnement en médicament </t>
  </si>
  <si>
    <t xml:space="preserve">Manque de personnel médical qualifié </t>
  </si>
  <si>
    <t>=&gt; N/A</t>
  </si>
  <si>
    <t xml:space="preserve">Dommages matériels au cours des deux dernières années ? </t>
  </si>
  <si>
    <t xml:space="preserve">Si oui, de quelle nature ? </t>
  </si>
  <si>
    <t>Dégats sévères</t>
  </si>
  <si>
    <t>Dégats modérés</t>
  </si>
  <si>
    <t>Dégats faibles</t>
  </si>
  <si>
    <t xml:space="preserve">Premiers soins de base </t>
  </si>
  <si>
    <t xml:space="preserve">Accouchement et césarienne </t>
  </si>
  <si>
    <t xml:space="preserve">Urgences vitales </t>
  </si>
  <si>
    <t xml:space="preserve">Bloc opératoire </t>
  </si>
  <si>
    <t xml:space="preserve">Consultations pédiatrie </t>
  </si>
  <si>
    <t xml:space="preserve">consult_curatives premiers_soins consult_prenatales accouchement maladies_infectieuses urgences_vitales pediatrie maternite </t>
  </si>
  <si>
    <t xml:space="preserve">Anti-Rougeole  </t>
  </si>
  <si>
    <t xml:space="preserve">Tuberculose (BCG) </t>
  </si>
  <si>
    <t xml:space="preserve">Polio </t>
  </si>
  <si>
    <t>Tetanos, coqueluche, hepatite</t>
  </si>
  <si>
    <t xml:space="preserve">=&gt; Tétanos, coqueluche, hépatite et fièvre jaune </t>
  </si>
  <si>
    <t xml:space="preserve">La structure a fermé à cause de l’insécurité  </t>
  </si>
  <si>
    <t xml:space="preserve">Le service s’est dégradé avec les événements (vols, pillage des équipements, fuite du personnel qualifié)  </t>
  </si>
  <si>
    <t xml:space="preserve">Le service s’est dégradé par manque de moyens (moins de médicaments, equipements, salaire du personnel)  </t>
  </si>
  <si>
    <t xml:space="preserve">Les habitants ont fui la localité suite aux événements  </t>
  </si>
  <si>
    <t xml:space="preserve">Les personnes se tournent plutôt vers les ONG pour recevoir de l’aide  </t>
  </si>
  <si>
    <t>n/a</t>
  </si>
  <si>
    <t xml:space="preserve">Le loyer est moins cher  </t>
  </si>
  <si>
    <t xml:space="preserve">Les equipements sont moins chers </t>
  </si>
  <si>
    <t xml:space="preserve">Aide extérieure reçue (ONG, organiation religieuse, dons, etc.)   </t>
  </si>
  <si>
    <t xml:space="preserve">Subventions reçues de la part de l'Etat </t>
  </si>
  <si>
    <t xml:space="preserve">Diminution des prix des médicaments </t>
  </si>
  <si>
    <t xml:space="preserve">Appui de la part de la communauté  </t>
  </si>
  <si>
    <t xml:space="preserve">Les equipements sont plus chers  </t>
  </si>
  <si>
    <t xml:space="preserve">Augmentation des prix des médicaments   </t>
  </si>
  <si>
    <t xml:space="preserve">Faible décentralisation du paiement des salaires  </t>
  </si>
  <si>
    <t xml:space="preserve">Manque de matériel de communication pour une bonne sensibilisation / promotion de la santé  </t>
  </si>
  <si>
    <t xml:space="preserve">Défaillance du système d'information (alerte épidémiologique, etc.)  </t>
  </si>
  <si>
    <t xml:space="preserve">Influences politiques - Préciser  </t>
  </si>
  <si>
    <t>Fond SENI via le gouvernement</t>
  </si>
  <si>
    <t>gouvernement autre</t>
  </si>
  <si>
    <t xml:space="preserve">Des subventions directes (de l'argent)  </t>
  </si>
  <si>
    <t xml:space="preserve">Réhabilitations des bâtiments / locaux </t>
  </si>
  <si>
    <t xml:space="preserve">Des dotations en médicaments </t>
  </si>
  <si>
    <t xml:space="preserve">Du personnel qualifié  </t>
  </si>
  <si>
    <t xml:space="preserve">Des formations techniques de santé  </t>
  </si>
  <si>
    <t xml:space="preserve">Des formations en gestion et adminstration  </t>
  </si>
  <si>
    <t xml:space="preserve">Plus de supervision et d'appui technique de la Région Sanitaire  </t>
  </si>
  <si>
    <t xml:space="preserve">Plus de responsabilités et d'autonomie au niveau des Districts de santé  </t>
  </si>
  <si>
    <t xml:space="preserve">=&gt; les informateurs clés manquent d'information sur ce sujet </t>
  </si>
  <si>
    <t xml:space="preserve">non applicable </t>
  </si>
  <si>
    <t>cc6cbd13-dac9-4d5a-a549-18cf91e38029</t>
  </si>
  <si>
    <t>2020-10-24T08:36:02.434+01</t>
  </si>
  <si>
    <t>2020-10-24T09:31:40.458+01</t>
  </si>
  <si>
    <t>2020-10-24</t>
  </si>
  <si>
    <t>satema</t>
  </si>
  <si>
    <t>service_mobile</t>
  </si>
  <si>
    <t>non_aucun</t>
  </si>
  <si>
    <t>non_panne</t>
  </si>
  <si>
    <t>consult_curatives premiers_soins maladies_infectieuses urgences_vitales pediatrie maternite</t>
  </si>
  <si>
    <t>rougeole tuberculose polio</t>
  </si>
  <si>
    <t>deplaces fermeture_structures_voisines</t>
  </si>
  <si>
    <t>oui_exception</t>
  </si>
  <si>
    <t>ong</t>
  </si>
  <si>
    <t>medicaments_nb medicaments_qualite personnels insecurite sur_utilisation</t>
  </si>
  <si>
    <t>gvt ong_Internationales chef_village</t>
  </si>
  <si>
    <t>subventions dotation_equipements formation_gestion</t>
  </si>
  <si>
    <t>medicaments personnel dotation_equipements_maintenance formations_techniques formations_gestion supervision_rs supervision_district</t>
  </si>
  <si>
    <t>lavage_mains distanciations</t>
  </si>
  <si>
    <t>moto</t>
  </si>
  <si>
    <t>2020-11-02T15:41:56</t>
  </si>
  <si>
    <t>a435268b-6487-449c-adcc-70ad48d3241a</t>
  </si>
  <si>
    <t>2020-10-06T16:28:32.354+01</t>
  </si>
  <si>
    <t>2020-10-24T09:30:59.659+01</t>
  </si>
  <si>
    <t>2020-10-06</t>
  </si>
  <si>
    <t>356676102871701</t>
  </si>
  <si>
    <t>Ndjoni</t>
  </si>
  <si>
    <t>ONU</t>
  </si>
  <si>
    <t>medicaments personnel dotation_equipements_medicaux dotation_equipements_maintenance formations_techniques formations_gestion supervision_rs supervision_district</t>
  </si>
  <si>
    <t>2020-11-02T15:42:35</t>
  </si>
  <si>
    <t>274f8c9f-a214-4cd3-aa20-6095267b4390</t>
  </si>
  <si>
    <t>2020-10-24T15:07:41.317+01</t>
  </si>
  <si>
    <t>2020-10-24T17:28:17.083+01</t>
  </si>
  <si>
    <t>Madangbé</t>
  </si>
  <si>
    <t>alimentaires semences nfi medicaments</t>
  </si>
  <si>
    <t>journee</t>
  </si>
  <si>
    <t>insecurite_localite</t>
  </si>
  <si>
    <t>Chaque deux semaines</t>
  </si>
  <si>
    <t>exterieur</t>
  </si>
  <si>
    <t xml:space="preserve"> Droit de la sécurité</t>
  </si>
  <si>
    <t>Tous les deux semaines</t>
  </si>
  <si>
    <t>manque_ressources_fin manque_infra mauvaise_routes insecurite_axes insecurite_localite taxation_ga faible_pouvoir_achat</t>
  </si>
  <si>
    <t>materiaux_rehab rehabilitation_marches rehabilitation_routes rehabilitation_ponts cash_distrib</t>
  </si>
  <si>
    <t>2020-11-02T15:42:51</t>
  </si>
  <si>
    <t>23aeccf7-e055-401a-b315-1e9b452000fd</t>
  </si>
  <si>
    <t>2020-10-24T08:36:10.269+01</t>
  </si>
  <si>
    <t>2020-10-24T09:30:59.061+01</t>
  </si>
  <si>
    <t>premiers_soins</t>
  </si>
  <si>
    <t>Indigents</t>
  </si>
  <si>
    <t>msg_sensibilisation</t>
  </si>
  <si>
    <t>2020-11-02T15:56:07</t>
  </si>
  <si>
    <t>de918616-56d0-4b3b-b938-cc70994c79b0</t>
  </si>
  <si>
    <t>2020-10-25T09:29:01.833+01</t>
  </si>
  <si>
    <t>2020-10-25T09:49:13.362+01</t>
  </si>
  <si>
    <t>2020-10-25</t>
  </si>
  <si>
    <t>plusieurs_quartiers</t>
  </si>
  <si>
    <t>creation_rehab</t>
  </si>
  <si>
    <t>mauvaise_qualite</t>
  </si>
  <si>
    <t>ong_Internationales chef_quartiers chef_village</t>
  </si>
  <si>
    <t>dotation_materiaux rehab_equipements sensibilisation</t>
  </si>
  <si>
    <t>construction sensibilisation formation_gestion</t>
  </si>
  <si>
    <t>2020-11-02T15:56:43</t>
  </si>
  <si>
    <t>11d512ec-d2c1-40be-ab00-106db5b8142d</t>
  </si>
  <si>
    <t>2020-10-25T10:54:13.032+01</t>
  </si>
  <si>
    <t>2020-10-25T11:12:42.178+01</t>
  </si>
  <si>
    <t>École sous-prefectorale mixte centre 1 satema</t>
  </si>
  <si>
    <t>Nsp</t>
  </si>
  <si>
    <t>difficilement</t>
  </si>
  <si>
    <t>securite sensibilisation</t>
  </si>
  <si>
    <t>moins_diplomes aug_effectifs</t>
  </si>
  <si>
    <t>ressources_fin materiel equipement professeurs_qualifies</t>
  </si>
  <si>
    <t>gvt ong_Internationales leaders_communautaires ape</t>
  </si>
  <si>
    <t>subventions equipements personnels constructions materiel_didactique formations_mp formations_ape</t>
  </si>
  <si>
    <t>2020-11-02T15:57:09</t>
  </si>
  <si>
    <t>80e5d980-1630-49a0-8b0e-b04ffe55de06</t>
  </si>
  <si>
    <t>2020-10-25T14:45:06.249+01</t>
  </si>
  <si>
    <t>2020-10-25T14:56:43.870+01</t>
  </si>
  <si>
    <t>puits_non_protege</t>
  </si>
  <si>
    <t>plus_trois_heure</t>
  </si>
  <si>
    <t>augmentation_population creation_rehab</t>
  </si>
  <si>
    <t>chef_communautaire ong_internationales</t>
  </si>
  <si>
    <t>2020-11-02T15:57:19</t>
  </si>
  <si>
    <t>86613b89-9fac-400b-ac31-004e0abf2ad6</t>
  </si>
  <si>
    <t>2020-10-25T15:09:45.768+01</t>
  </si>
  <si>
    <t>2020-10-25T15:27:24.963+01</t>
  </si>
  <si>
    <t>financier respect_mode_gestion mauvaise_qualite finance_maintenance</t>
  </si>
  <si>
    <t>subventions dotation_materiaux rehab_equipements rehabilitation</t>
  </si>
  <si>
    <t>2020-11-02T15:57:31</t>
  </si>
  <si>
    <t>78b5c16f-f2de-46d3-b4a0-786cee0c07af</t>
  </si>
  <si>
    <t>2020-10-28T15:30:50.943+01</t>
  </si>
  <si>
    <t>2020-10-29T07:46:38.958+01</t>
  </si>
  <si>
    <t>2020-10-28</t>
  </si>
  <si>
    <t>augmentation_population deplaces</t>
  </si>
  <si>
    <t>materiel mauvaise_qualite finance_maintenance</t>
  </si>
  <si>
    <t>ong_Internationales leaders_communautaires chef_quartiers</t>
  </si>
  <si>
    <t>subventions personnel_maintenance rehab_bâtiments rehab_equipements construction</t>
  </si>
  <si>
    <t>2020-11-02T15:57:37</t>
  </si>
  <si>
    <t>38425fdf-c4d4-4b9b-86c2-d0108bceffc5</t>
  </si>
  <si>
    <t>2020-10-26T08:20:09.879+01</t>
  </si>
  <si>
    <t>2020-10-26T09:17:20.103+01</t>
  </si>
  <si>
    <t>2020-10-26</t>
  </si>
  <si>
    <t>Cette de santé SATEMA</t>
  </si>
  <si>
    <t>consult_curatives premiers_soins consult_prenatales accouchement mas maternite</t>
  </si>
  <si>
    <t>preval rougeole tuberculose polio</t>
  </si>
  <si>
    <t>nouveaux_pbs renforcement_humanitaire reference_ong</t>
  </si>
  <si>
    <t>fortement_sur:utilise</t>
  </si>
  <si>
    <t>gvt ong_internationales</t>
  </si>
  <si>
    <t>dons_argent dons_materiaux</t>
  </si>
  <si>
    <t>ressources_fin decentralisation_salaires equipements personnels communication vols</t>
  </si>
  <si>
    <t>mairie gvt ong_Internationales chef_village</t>
  </si>
  <si>
    <t>gouvernement ong_internationales</t>
  </si>
  <si>
    <t>subventions dotation_equipements personnel</t>
  </si>
  <si>
    <t>subventions dotation_materiaux rehabilitation medicaments personnel dotation_equipements_medicaux dotation_equipements_maintenance formations_techniques</t>
  </si>
  <si>
    <t>symptomes transmission mesures_gvt msg_sensibilisation mesures_preventions</t>
  </si>
  <si>
    <t>symptomes propagation lavage_mains distanciations masque rassemblement</t>
  </si>
  <si>
    <t>ong_international</t>
  </si>
  <si>
    <t>2020-11-02T15:57:38</t>
  </si>
  <si>
    <t>27e94e81-c03a-4f20-924e-1b2e013397ad</t>
  </si>
  <si>
    <t>2020-10-28T15:59:00.233+01</t>
  </si>
  <si>
    <t>2020-10-28T16:18:56.542+01</t>
  </si>
  <si>
    <t>LAPI KADIA</t>
  </si>
  <si>
    <t>communaute chef_communautaire</t>
  </si>
  <si>
    <t>aug_population sensibilisation</t>
  </si>
  <si>
    <t>conditions_travail</t>
  </si>
  <si>
    <t>gvt leaders_communautaires chef_village ape</t>
  </si>
  <si>
    <t>subventions materiaux_rehab equipements personnels rehabilitations constructions materiel_didactique formations_mp formations_ape</t>
  </si>
  <si>
    <t>Non</t>
  </si>
  <si>
    <t>2020-11-02T15:58:43</t>
  </si>
  <si>
    <t>c031ae8d-a523-4902-b751-f18833f42500</t>
  </si>
  <si>
    <t>2020-10-26T09:46:10.023+01</t>
  </si>
  <si>
    <t>2020-11-02T08:38:14.809+01</t>
  </si>
  <si>
    <t>École centre 2 SATEMA</t>
  </si>
  <si>
    <t>communautaire</t>
  </si>
  <si>
    <t>manque_mobilier ressources_fin_fonctionnement ressources_fin_entretien manque_enseignants</t>
  </si>
  <si>
    <t>communaute ong_internationales</t>
  </si>
  <si>
    <t>rehabilitation_ecole sensibilisation</t>
  </si>
  <si>
    <t>gvt ong_Internationales leaders_communautaires</t>
  </si>
  <si>
    <t>equipements rehabilitations constructions materiel_didactique formations_mp formations_ape</t>
  </si>
  <si>
    <t>subventions materiaux_rehab equipements personnels rehabilitations constructions formations_mp</t>
  </si>
  <si>
    <t>2020-11-02T15:58:44</t>
  </si>
  <si>
    <t>7f13a3a5-ffd1-4642-9fb8-9396a97f59bb</t>
  </si>
  <si>
    <t>2020-10-26T14:42:51.173+01</t>
  </si>
  <si>
    <t>2020-10-29T07:46:59.414+01</t>
  </si>
  <si>
    <t>École mixte NDEKELEMBOYO</t>
  </si>
  <si>
    <t>sa fonctionne bien</t>
  </si>
  <si>
    <t>gvt leaders_communautaires chef_quartiers chef_village ape</t>
  </si>
  <si>
    <t>materiaux_rehab equipements personnels rehabilitations constructions materiel_didactique formations_mp formations_ape</t>
  </si>
  <si>
    <t>2020-11-02T15:58:49</t>
  </si>
  <si>
    <t>5a78a6da-57bb-4cbc-9c8a-6e29760c5f5b</t>
  </si>
  <si>
    <t>2020-10-26T15:53:37.043+01</t>
  </si>
  <si>
    <t>2020-10-29T07:45:24.101+01</t>
  </si>
  <si>
    <t>Petit marché  SATEMA Centre</t>
  </si>
  <si>
    <t>alimentaires semences hygiene medicaments materiel_scolaire</t>
  </si>
  <si>
    <t>nouveaux_commercants_deplaces acces</t>
  </si>
  <si>
    <t>achat_individuel_grossistes commercants_producteurs</t>
  </si>
  <si>
    <t>mensuel</t>
  </si>
  <si>
    <t>proche</t>
  </si>
  <si>
    <t>fermeture_marches_voisins</t>
  </si>
  <si>
    <t>transport</t>
  </si>
  <si>
    <t>livraison</t>
  </si>
  <si>
    <t>N'ayant personne</t>
  </si>
  <si>
    <t>chef_village</t>
  </si>
  <si>
    <t>manque_ressources_fin manque_infra mauvaise_routes forte_demande indispo_produits faible_pouvoir_achat</t>
  </si>
  <si>
    <t>materiaux_rehab rehabilitation_marches rehabilitation_routes formation</t>
  </si>
  <si>
    <t>2020-11-02T15:58:54</t>
  </si>
  <si>
    <t>b16af35e-28f6-48ab-87cf-58ef3bca74f3</t>
  </si>
  <si>
    <t>2020-10-27T09:48:16.260+01</t>
  </si>
  <si>
    <t>2020-10-27T10:03:47.709+01</t>
  </si>
  <si>
    <t>2020-10-27</t>
  </si>
  <si>
    <t>puits_protege</t>
  </si>
  <si>
    <t>plus_une_heure</t>
  </si>
  <si>
    <t>destruction creation_rehab</t>
  </si>
  <si>
    <t>proprietaire ong_internationales</t>
  </si>
  <si>
    <t>financier materiel respect_mode_gestion mauvaise_qualite finance_maintenance</t>
  </si>
  <si>
    <t>dotation_materiaux personnel personnel_maintenance rehab_equipements construction</t>
  </si>
  <si>
    <t>2020-11-02T15:59:06</t>
  </si>
  <si>
    <t>84a1ab19-64ba-460e-809b-4d5c0f6784f1</t>
  </si>
  <si>
    <t>2020-10-27T10:28:00.256+01</t>
  </si>
  <si>
    <t>2020-10-27T10:42:59.101+01</t>
  </si>
  <si>
    <t>augmentation_population deplaces creation_rehab</t>
  </si>
  <si>
    <t>financier materiel mauvaise_qualite finance_maintenance</t>
  </si>
  <si>
    <t>ong_Internationales leaders_communautaires</t>
  </si>
  <si>
    <t>subventions dotation_materiaux dotation_equipements rehab_equipements construction formation_gestion</t>
  </si>
  <si>
    <t>2020-11-02T15:59:10</t>
  </si>
  <si>
    <t>779c92a4-909a-49ce-bce7-078cf68c9d93</t>
  </si>
  <si>
    <t>2020-10-27T12:50:42.127+01</t>
  </si>
  <si>
    <t>2020-10-27T12:55:55.823+01</t>
  </si>
  <si>
    <t>source_non_amenagee</t>
  </si>
  <si>
    <t>deux_trois_heures</t>
  </si>
  <si>
    <t>leaders_communautaires chef_quartiers</t>
  </si>
  <si>
    <t>dotation_materiaux dotation_equipements rehab_equipements</t>
  </si>
  <si>
    <t>2020-11-02T15:59:15</t>
  </si>
  <si>
    <t>097d5fce-1cf4-4c52-acdb-e6b80c98fa7d</t>
  </si>
  <si>
    <t>2020-10-29T08:24:14.380+01</t>
  </si>
  <si>
    <t>2020-10-29T08:34:11.772+01</t>
  </si>
  <si>
    <t>2020-10-29</t>
  </si>
  <si>
    <t>subventions dotation_materiaux personnel rehab_bâtiments rehab_equipements rehabilitation formation_gestion</t>
  </si>
  <si>
    <t>2020-11-02T15:59:53</t>
  </si>
  <si>
    <t>4c2027f8-22a7-46e6-beb6-bd8c46856347</t>
  </si>
  <si>
    <t>2020-10-29T08:52:24.492+01</t>
  </si>
  <si>
    <t>2020-10-29T09:00:30.289+01</t>
  </si>
  <si>
    <t>non_maintenance</t>
  </si>
  <si>
    <t>moins_six_mois</t>
  </si>
  <si>
    <t>une_deux_heures</t>
  </si>
  <si>
    <t>leaders_communautaires chef_quartiers chef_village leaders_religieux</t>
  </si>
  <si>
    <t>subventions personnel rehab_bâtiments rehab_equipements formation_gestion</t>
  </si>
  <si>
    <t>2020-11-02T16:00:05</t>
  </si>
  <si>
    <t>bb45268a-f651-4c3e-9ecf-d2c0f65b75ba</t>
  </si>
  <si>
    <t>2020-10-29T09:38:03.630+01</t>
  </si>
  <si>
    <t>2020-10-29T10:11:42.614+01</t>
  </si>
  <si>
    <t>ÉCOLE AGAPÉ BOUNGBA</t>
  </si>
  <si>
    <t>sa fonctionne dans toute l'année</t>
  </si>
  <si>
    <t>aug_population deplces rehabilitation_ecole sensibilisation</t>
  </si>
  <si>
    <t>ressources_fin materiel equipement</t>
  </si>
  <si>
    <t>gvt ong_nationales leaders_religieux</t>
  </si>
  <si>
    <t>ong_locales</t>
  </si>
  <si>
    <t>formations_mp</t>
  </si>
  <si>
    <t>subventions materiaux_rehab equipements rehabilitations materiel_didactique formations_mp</t>
  </si>
  <si>
    <t>2020-11-02T16:00:18</t>
  </si>
  <si>
    <t>=&gt; pas de dommages matériels répertoriés</t>
  </si>
  <si>
    <t>=&gt; pas d'école non fonctionnelle répertoriée</t>
  </si>
  <si>
    <t>l'école fonctionne bien dans les années dernières</t>
  </si>
  <si>
    <t>Cela était fait fréquent dans cette école c'est a dire d'une à deux années</t>
  </si>
  <si>
    <t xml:space="preserve">DIFFICILEMENT </t>
  </si>
  <si>
    <t>Seulement le chef de groupe qui pourrait nous aider</t>
  </si>
  <si>
    <t>Moi-même je m'en occuperai de ce fonctionne ment de cette école en tant que pasteur de l'église</t>
  </si>
  <si>
    <t xml:space="preserve">Les déplacés, retournés et réfugiés sont de nouveaux acteurs du marché  </t>
  </si>
  <si>
    <t xml:space="preserve">Les déplacés, retournés et réfugiés apportent de nouvelles marchandises  </t>
  </si>
  <si>
    <t>Fermeture d'autres marchés dans la zone</t>
  </si>
  <si>
    <t xml:space="preserve">Il y a plus d’acheteurs  </t>
  </si>
  <si>
    <t xml:space="preserve">Il y a de nouvelles demandes de la part des acheteurs  </t>
  </si>
  <si>
    <t xml:space="preserve">La sécurité de la zone s'est améliorée  </t>
  </si>
  <si>
    <t xml:space="preserve">L'accès à la localité s'est amélioré  </t>
  </si>
  <si>
    <t>=&gt; Toutes les deux semaines</t>
  </si>
  <si>
    <t xml:space="preserve">Les marchés avoisinnants ne sont plus fonctionnels  </t>
  </si>
  <si>
    <t xml:space="preserve">Meilleur approvisonnement qui attire plus de personnes  </t>
  </si>
  <si>
    <t xml:space="preserve">Sécurisation de la zone  </t>
  </si>
  <si>
    <t>=&gt; aucune taxe communale</t>
  </si>
  <si>
    <t>=&gt; taxes payées au groupe armé, pour le "droit à la sécurité", toutes les deux semaines</t>
  </si>
  <si>
    <t>=&gt; taxe payée au groupe armé</t>
  </si>
  <si>
    <t xml:space="preserve">=&gt; Personne pour le petit marché </t>
  </si>
  <si>
    <t xml:space="preserve">Si oui, fonctionnel  ? </t>
  </si>
  <si>
    <t xml:space="preserve">Non - il tombe régulièrement en panne </t>
  </si>
  <si>
    <t xml:space="preserve">Non - il manque de l'essence pour qu'il fonctionne </t>
  </si>
  <si>
    <t xml:space="preserve">Non - il manque des pièces pour qu'il fonctionne   </t>
  </si>
  <si>
    <t>Oui</t>
  </si>
  <si>
    <t>Oui mais pas pour tout le monde</t>
  </si>
  <si>
    <t xml:space="preserve">=&gt; aucun changement à signaler </t>
  </si>
  <si>
    <t>Les personnes qui n'ont pas d'argent</t>
  </si>
  <si>
    <t>=&gt; Les personnes qui n'ont pas d'argent</t>
  </si>
  <si>
    <t>Arrivée de populations déplacées</t>
  </si>
  <si>
    <t xml:space="preserve">=&gt; agence onusienne </t>
  </si>
  <si>
    <t>f09f0420-4f41-4cab-bbeb-5dadcfb455b2</t>
  </si>
  <si>
    <t>2020-09-24T14:47:27.707+01</t>
  </si>
  <si>
    <t>2020-09-24T14:54:04.633+01</t>
  </si>
  <si>
    <t>2020-09-24</t>
  </si>
  <si>
    <t>alindao</t>
  </si>
  <si>
    <t>destruction non_acces</t>
  </si>
  <si>
    <t>six_mois_un_an</t>
  </si>
  <si>
    <t>dotation_materiaux rehab_equipements</t>
  </si>
  <si>
    <t>inadapte</t>
  </si>
  <si>
    <t>2020-11-11T12:53:19</t>
  </si>
  <si>
    <t>6419220b-10e4-409c-8099-7ebf9eaa8cdb</t>
  </si>
  <si>
    <t>2020-09-24T08:58:37.716+01</t>
  </si>
  <si>
    <t>2020-09-24T09:23:26.742+01</t>
  </si>
  <si>
    <t>financier materiel personnels_qualifies mauvaise_qualite finance_maintenance</t>
  </si>
  <si>
    <t>dotation_materiaux dotation_equipements personnel personnel_maintenance rehab_equipements formation_gestion</t>
  </si>
  <si>
    <t>2020-11-11T10:55:00</t>
  </si>
  <si>
    <t>a75b3bbe-68cc-4406-94d3-b0fdd2d9e023</t>
  </si>
  <si>
    <t>2020-09-24T09:46:41.498+01</t>
  </si>
  <si>
    <t>2020-09-24T10:09:52.357+01</t>
  </si>
  <si>
    <t>destruction augmentation_population</t>
  </si>
  <si>
    <t>leaders_communautaires chef_quartiers chef_village</t>
  </si>
  <si>
    <t>personnel personnel_maintenance</t>
  </si>
  <si>
    <t>2020-11-11T10:59:17</t>
  </si>
  <si>
    <t>41b37b52-9bfc-4b58-99a1-d4cdde7401bb</t>
  </si>
  <si>
    <t>2020-09-24T09:53:20.445+01:00</t>
  </si>
  <si>
    <t>2020-09-24T12:09:09.936+01:00</t>
  </si>
  <si>
    <t>Le chef de ménage lui meme</t>
  </si>
  <si>
    <t>finance_maintenance</t>
  </si>
  <si>
    <t>rehab_equipements</t>
  </si>
  <si>
    <t>2020-11-11T10:59:46</t>
  </si>
  <si>
    <t>119d109c-1d20-4a6e-a465-20fb1dddb164</t>
  </si>
  <si>
    <t>2020-09-23T15:29:53.837+01</t>
  </si>
  <si>
    <t>2020-09-24T09:02:11.897+01</t>
  </si>
  <si>
    <t>2020-09-23</t>
  </si>
  <si>
    <t>materiel</t>
  </si>
  <si>
    <t>leaders_communautaires</t>
  </si>
  <si>
    <t>2020-11-11T11:02:23</t>
  </si>
  <si>
    <t>e270be69-3bd7-411e-b7f9-5063576ce052</t>
  </si>
  <si>
    <t>2020-09-24T10:15:11.522+01</t>
  </si>
  <si>
    <t>2020-09-24T10:53:38.162+01</t>
  </si>
  <si>
    <t>alimentaires semences nfi hygiene medicaments materiaux materiel_scolaire</t>
  </si>
  <si>
    <t>Pour la mort de Ministre BOUBA</t>
  </si>
  <si>
    <t>nouveaux_commercants_deplaces deplaces_marchandises fermeture_marches_voisins augmentation_acheteurs nouvelles_demandes securite</t>
  </si>
  <si>
    <t>achat_individuel_producteurs achat_groupe_producteurs achat_groupe_grossistes</t>
  </si>
  <si>
    <t>achat_individuel_producteurs achat_individuel_grossistes achat_groupe_producteurs</t>
  </si>
  <si>
    <t>aug_population fermeture_marches_voisins securisation</t>
  </si>
  <si>
    <t>emplacement</t>
  </si>
  <si>
    <t>jour</t>
  </si>
  <si>
    <t>manque_ressources_fin manque_infra mauvaise_routes insecurite_axes insecurite_localite taxation_ga tensions_communautaires</t>
  </si>
  <si>
    <t>rehabilitation_marches rehabilitation_ponts formation</t>
  </si>
  <si>
    <t>2020-11-11T11:02:25</t>
  </si>
  <si>
    <t>17fe2da6-0c68-4830-be72-855e58c48893</t>
  </si>
  <si>
    <t>2020-09-24T10:44:21.296+01:00</t>
  </si>
  <si>
    <t>2020-09-28T15:57:08.114+01:00</t>
  </si>
  <si>
    <t>ong_internationales autre</t>
  </si>
  <si>
    <t>insecurite respect_mode_gestion</t>
  </si>
  <si>
    <t>2020-11-11T12:51:18</t>
  </si>
  <si>
    <t>681b58a0-d41b-4a77-b6c3-7dbb6e3ea370</t>
  </si>
  <si>
    <t>2020-09-24T11:21:17.447+01:00</t>
  </si>
  <si>
    <t>2020-09-24T11:42:37.996+01:00</t>
  </si>
  <si>
    <t>pression</t>
  </si>
  <si>
    <t>formation_gestion</t>
  </si>
  <si>
    <t>2020-11-11T12:51:21</t>
  </si>
  <si>
    <t>389cec09-3c94-4afa-9fed-ea45b4b716ed</t>
  </si>
  <si>
    <t>2020-09-24T12:09:08.398+01:00</t>
  </si>
  <si>
    <t>2020-09-24T12:20:10.576+01:00</t>
  </si>
  <si>
    <t>2020-11-11T12:51:24</t>
  </si>
  <si>
    <t>ff792c04-0f7c-4e03-9402-dd600edcdace</t>
  </si>
  <si>
    <t>2020-09-24T12:27:06.074+01:00</t>
  </si>
  <si>
    <t>2020-09-24T12:36:08.308+01:00</t>
  </si>
  <si>
    <t>2020-11-11T12:51:27</t>
  </si>
  <si>
    <t>153fc9e7-31ad-413c-af9a-cbbc097b6b3d</t>
  </si>
  <si>
    <t>2020-09-24T12:36:45.094+01:00</t>
  </si>
  <si>
    <t>2020-09-24T12:49:14.823+01:00</t>
  </si>
  <si>
    <t>2020-11-11T12:51:30</t>
  </si>
  <si>
    <t>d6f110f5-5875-4c88-9593-907dcf47b3aa</t>
  </si>
  <si>
    <t>2020-09-24T12:49:28.432+01:00</t>
  </si>
  <si>
    <t>2020-09-24T14:30:12.166+01:00</t>
  </si>
  <si>
    <t>personnels_qualifies</t>
  </si>
  <si>
    <t>ACF</t>
  </si>
  <si>
    <t>2020-11-11T12:51:33</t>
  </si>
  <si>
    <t>533f9410-de0e-4a4a-8829-5ce09ca21161</t>
  </si>
  <si>
    <t>2020-09-24T14:30:26.894+01:00</t>
  </si>
  <si>
    <t>2020-09-24T14:54:10.043+01:00</t>
  </si>
  <si>
    <t>ONG ACF</t>
  </si>
  <si>
    <t>dotation_equipements</t>
  </si>
  <si>
    <t>2020-11-11T12:51:36</t>
  </si>
  <si>
    <t>6bca12c5-441f-43e5-b4a2-abfbf3f0ab0c</t>
  </si>
  <si>
    <t>2020-09-24T14:54:46.431+01:00</t>
  </si>
  <si>
    <t>2020-09-24T15:34:08.805+01:00</t>
  </si>
  <si>
    <t>Cordaid</t>
  </si>
  <si>
    <t>2020-11-11T12:51:39</t>
  </si>
  <si>
    <t>c989af81-6fc8-4b30-9ff8-6d502cc94790</t>
  </si>
  <si>
    <t>2020-09-24T15:34:56.784+01:00</t>
  </si>
  <si>
    <t>2020-09-24T16:02:10.052+01:00</t>
  </si>
  <si>
    <t>plus_deux_heures</t>
  </si>
  <si>
    <t>2020-11-11T12:51:42</t>
  </si>
  <si>
    <t>176891e9-a232-4558-88ef-08412473d100</t>
  </si>
  <si>
    <t>2020-09-28T09:00:42.701+01:00</t>
  </si>
  <si>
    <t>2020-09-28T14:43:10.288+01:00</t>
  </si>
  <si>
    <t>2020-09-28</t>
  </si>
  <si>
    <t>École Madinga</t>
  </si>
  <si>
    <t>ressources_fin materiel equipement professeurs_qualifies insecurite vols</t>
  </si>
  <si>
    <t>personnels subventions materiaux_rehab equipements rehabilitations constructions materiel_didactique formations_mp formation_admin formations_ape</t>
  </si>
  <si>
    <t>2020-11-11T12:51:45</t>
  </si>
  <si>
    <t>ba47b469-2d93-44ef-bc52-a6e73c09a4d7</t>
  </si>
  <si>
    <t>2020-09-28T09:50:05.166+01:00</t>
  </si>
  <si>
    <t>2020-09-28T10:50:09.304+01:00</t>
  </si>
  <si>
    <t>Nguerepou</t>
  </si>
  <si>
    <t>deplces</t>
  </si>
  <si>
    <t>subventions materiaux_rehab equipements personnels rehabilitations constructions materiel_didactique formations_mp formation_admin</t>
  </si>
  <si>
    <t>2020-11-11T12:51:48</t>
  </si>
  <si>
    <t>87cfa890-4672-424f-aa27-6e478f35cb00</t>
  </si>
  <si>
    <t>2020-09-28T10:21:03.661+01:00</t>
  </si>
  <si>
    <t>2020-09-28T14:35:43.566+01:00</t>
  </si>
  <si>
    <t>ape</t>
  </si>
  <si>
    <t>Samba Djalo</t>
  </si>
  <si>
    <t>2020-11-11T12:51:50</t>
  </si>
  <si>
    <t>3cfcfafa-4804-4e91-b66f-2313a904abc8</t>
  </si>
  <si>
    <t>2020-09-28T11:15:15.950+01:00</t>
  </si>
  <si>
    <t>2020-09-28T12:05:18.090+01:00</t>
  </si>
  <si>
    <t>Vondja Djogo p k3</t>
  </si>
  <si>
    <t>constructions</t>
  </si>
  <si>
    <t>insuffisant inadapte non_durable</t>
  </si>
  <si>
    <t>2020-11-11T12:51:53</t>
  </si>
  <si>
    <t>828364b3-7e2b-4abd-a68d-8cfc62a57c59</t>
  </si>
  <si>
    <t>2020-09-28T12:06:05.697+01:00</t>
  </si>
  <si>
    <t>2020-09-28T12:39:21.521+01:00</t>
  </si>
  <si>
    <t>deplaces creation_rehab</t>
  </si>
  <si>
    <t>construction formation_gestion dotation_materiaux dotation_equipements</t>
  </si>
  <si>
    <t>2020-11-11T12:51:56</t>
  </si>
  <si>
    <t>ccd8e113-1c5c-4cd9-bbdd-e983ca17a0df</t>
  </si>
  <si>
    <t>2020-09-28T15:03:33.661+01:00</t>
  </si>
  <si>
    <t>2020-09-28T15:40:50.611+01:00</t>
  </si>
  <si>
    <t>Michel Kandel</t>
  </si>
  <si>
    <t>prive</t>
  </si>
  <si>
    <t>leaders_religieux</t>
  </si>
  <si>
    <t>subventions materiaux_rehab equipements personnels rehabilitations constructions materiel_didactique</t>
  </si>
  <si>
    <t>2020-11-11T12:51:59</t>
  </si>
  <si>
    <t>a4b97415-a635-4268-9966-88d578180ba4</t>
  </si>
  <si>
    <t>2020-09-24T10:08:16.671+01</t>
  </si>
  <si>
    <t>2020-09-24T10:24:08.068+01</t>
  </si>
  <si>
    <t>augmentation_population</t>
  </si>
  <si>
    <t>proprietaire ong_nationales</t>
  </si>
  <si>
    <t>usagers</t>
  </si>
  <si>
    <t>2020-11-11T12:52:10</t>
  </si>
  <si>
    <t>00831395-a7fa-488c-9679-c0ca6a7bbfa1</t>
  </si>
  <si>
    <t>2020-09-24T11:22:34.782+01</t>
  </si>
  <si>
    <t>2020-09-24T19:46:03.531+01</t>
  </si>
  <si>
    <t>moderes</t>
  </si>
  <si>
    <t>consult_curatives premiers_soins consult_prenatales mas violences_sexuelles maladies_infectieuses pediatrie maternite</t>
  </si>
  <si>
    <t>deplaces fermeture_structures_voisines renforcement_gvt reference_ong</t>
  </si>
  <si>
    <t>medicaments_nb equipements personnels insecurite autre</t>
  </si>
  <si>
    <t>Absence de clôture</t>
  </si>
  <si>
    <t>mairie gvt ong_Internationales chef_quartiers chef_village leaders_religieux</t>
  </si>
  <si>
    <t>usagers gouvernement ong_internationales</t>
  </si>
  <si>
    <t>subventions rehab_equipements sensibilisation formation_gestion</t>
  </si>
  <si>
    <t>subventions dotation_materiaux medicaments personnel dotation_equipements_medicaux dotation_equipements_maintenance formations_techniques formations_gestion supervision_rs supervision_district autre</t>
  </si>
  <si>
    <t>Construction de clôture</t>
  </si>
  <si>
    <t>transmission mesures_gvt msg_sensibilisation mesures_preventions</t>
  </si>
  <si>
    <t>2020-11-11T12:52:15</t>
  </si>
  <si>
    <t>c8f50c8c-b494-4233-a468-79b646e332bf</t>
  </si>
  <si>
    <t>2020-09-24T10:37:13.056+01</t>
  </si>
  <si>
    <t>2020-09-24T10:44:05.391+01</t>
  </si>
  <si>
    <t>deplaces</t>
  </si>
  <si>
    <t>2020-11-11T12:52:23</t>
  </si>
  <si>
    <t>83aaeb48-b546-4c6a-ac02-fc17d49a3f4c</t>
  </si>
  <si>
    <t>2020-09-24T12:17:32.704+01</t>
  </si>
  <si>
    <t>2020-09-24T12:41:57.584+01</t>
  </si>
  <si>
    <t>hygiene</t>
  </si>
  <si>
    <t>latrines_communautaires</t>
  </si>
  <si>
    <t>latrines_dur_porte</t>
  </si>
  <si>
    <t>latrines_detruites aug_population deplaces sensibilisation_eha</t>
  </si>
  <si>
    <t>personnels_qualifies respect_mode_gestion</t>
  </si>
  <si>
    <t>ong_Internationales leaders_communautaires chef_quartiers chef_village</t>
  </si>
  <si>
    <t>subventions dotation_materiaux dotation_equipements personnel rehab_bâtiments rehab_equipements construction rehabilitation sensibilisation</t>
  </si>
  <si>
    <t>2020-11-11T12:52:25</t>
  </si>
  <si>
    <t>1c0eb175-9127-42d1-a72c-b26fabbc6cf4</t>
  </si>
  <si>
    <t>2020-09-24T10:35:48.657+01</t>
  </si>
  <si>
    <t>2020-09-24T10:48:46.002+01</t>
  </si>
  <si>
    <t>destruction insecurite augmentation_population deplaces</t>
  </si>
  <si>
    <t>financier materiel personnels_qualifies</t>
  </si>
  <si>
    <t>dotation_materiaux dotation_equipements personnel_maintenance rehabilitation formation_gestion</t>
  </si>
  <si>
    <t>2020-11-11T12:52:33</t>
  </si>
  <si>
    <t>30801907-32b7-49cb-a079-120687febdd1</t>
  </si>
  <si>
    <t>2020-09-24T10:57:47.938+01</t>
  </si>
  <si>
    <t>2020-09-24T11:15:17.954+01</t>
  </si>
  <si>
    <t>2020-11-11T12:52:34</t>
  </si>
  <si>
    <t>9fe2a455-2d02-4f7a-a5c8-5bdf700d2594</t>
  </si>
  <si>
    <t>2020-09-24T12:49:02.075+01</t>
  </si>
  <si>
    <t>2020-09-24T13:06:22.527+01</t>
  </si>
  <si>
    <t>MAMBISSI</t>
  </si>
  <si>
    <t>alimentaires semences nfi</t>
  </si>
  <si>
    <t>insecurite pluies appro diminution_acheteurs</t>
  </si>
  <si>
    <t>achat_individuel_producteurs achat_individuel_grossistes commercants_producteurs</t>
  </si>
  <si>
    <t>À l'extérieur (ZAÏRE)</t>
  </si>
  <si>
    <t>deplacement_population ouverture_marches_voisins autre</t>
  </si>
  <si>
    <t>Pas des acheteurs</t>
  </si>
  <si>
    <t>communaute secteur_prive</t>
  </si>
  <si>
    <t>association groupement_biens cooperative_producteurs</t>
  </si>
  <si>
    <t>manque_ressources_fin manque_infra mauvaise_routes insecurite_axes taxation_ga indispo_produits faible_pouvoir_achat</t>
  </si>
  <si>
    <t>subventions materiaux_rehab rehabilitation_marches rehabilitation_ponts cash_distrib</t>
  </si>
  <si>
    <t>2020-11-11T12:52:43</t>
  </si>
  <si>
    <t>15b420d4-4754-4032-971b-64219b55689b</t>
  </si>
  <si>
    <t>2020-09-24T11:41:39.219+01</t>
  </si>
  <si>
    <t>2020-09-24T11:51:49.514+01</t>
  </si>
  <si>
    <t>destruction augmentation_population deplaces</t>
  </si>
  <si>
    <t>materiel vols respect_mode_gestion</t>
  </si>
  <si>
    <t>dotation_materiaux personnel_maintenance rehab_equipements</t>
  </si>
  <si>
    <t>2020-11-11T12:52:45</t>
  </si>
  <si>
    <t>f4cd1487-efa2-4ce5-a448-121cf0cf40c9</t>
  </si>
  <si>
    <t>2020-09-24T11:15:25.292+01</t>
  </si>
  <si>
    <t>2020-09-24T11:19:58.174+01</t>
  </si>
  <si>
    <t>2020-11-11T12:52:49</t>
  </si>
  <si>
    <t>a9c192c8-b463-4441-b08c-c83a7ffe521b</t>
  </si>
  <si>
    <t>2020-09-24T14:30:04.465+01</t>
  </si>
  <si>
    <t>2020-09-24T14:41:43.235+01</t>
  </si>
  <si>
    <t>localite_environs</t>
  </si>
  <si>
    <t>financier insecurite respect_mode_gestion finance_maintenance</t>
  </si>
  <si>
    <t>subventions construction</t>
  </si>
  <si>
    <t>2020-11-11T12:52:57</t>
  </si>
  <si>
    <t>d1991ca4-5ec7-46c9-ac15-149b64fda55a</t>
  </si>
  <si>
    <t>2020-09-24T12:10:17.146+01</t>
  </si>
  <si>
    <t>2020-09-24T12:36:42.461+01</t>
  </si>
  <si>
    <t>destruction augmentation_population creation_rehab</t>
  </si>
  <si>
    <t>financier respect_mode_gestion</t>
  </si>
  <si>
    <t>dotation_materiaux personnel construction</t>
  </si>
  <si>
    <t>2020-11-11T12:52:58</t>
  </si>
  <si>
    <t>4abc320d-92c2-418b-941b-495d0dcc8d9e</t>
  </si>
  <si>
    <t>2020-09-24T11:42:55.815+01</t>
  </si>
  <si>
    <t>2020-09-24T15:29:03.440+01</t>
  </si>
  <si>
    <t>ong_internationales religieux</t>
  </si>
  <si>
    <t>dotation_equipements rehabilitation</t>
  </si>
  <si>
    <t>personnel</t>
  </si>
  <si>
    <t>2020-11-11T12:53:02</t>
  </si>
  <si>
    <t>a5b22de1-ecaf-418d-bfbc-1f43e7763580</t>
  </si>
  <si>
    <t>2020-09-24T12:50:00.828+01</t>
  </si>
  <si>
    <t>2020-09-24T12:58:43.484+01</t>
  </si>
  <si>
    <t>personnel_maintenance</t>
  </si>
  <si>
    <t>2020-11-11T12:53:09</t>
  </si>
  <si>
    <t>8a46d17e-6587-461b-834f-99158e74a8ab</t>
  </si>
  <si>
    <t>2020-09-24T14:52:32.476+01</t>
  </si>
  <si>
    <t>2020-09-24T15:02:24.741+01</t>
  </si>
  <si>
    <t>rehab_bâtiments rehab_equipements rehabilitation</t>
  </si>
  <si>
    <t>2020-11-11T12:53:11</t>
  </si>
  <si>
    <t>585fb01e-cf48-4f78-8a90-9a05121f7008</t>
  </si>
  <si>
    <t>2020-09-24T11:51:04.240+01</t>
  </si>
  <si>
    <t>2020-09-24T12:19:56.551+01</t>
  </si>
  <si>
    <t>diminution_population</t>
  </si>
  <si>
    <t>proprietaire religieux</t>
  </si>
  <si>
    <t>dotation_equipements sensibilisation</t>
  </si>
  <si>
    <t>2020-11-11T12:53:15</t>
  </si>
  <si>
    <t>73f49b86-4b35-427e-bd3c-38ff48ec8107</t>
  </si>
  <si>
    <t>2020-09-24T15:25:53.853+01</t>
  </si>
  <si>
    <t>2020-09-24T15:37:15.221+01</t>
  </si>
  <si>
    <t>financier personnels_qualifies mauvaise_qualite finance_maintenance</t>
  </si>
  <si>
    <t>rehab_bâtiments rehab_equipements construction rehabilitation formation_gestion</t>
  </si>
  <si>
    <t>2020-11-11T12:53:21</t>
  </si>
  <si>
    <t>9d69e999-f2f3-490f-96c0-4b816f6feca9</t>
  </si>
  <si>
    <t>2020-09-24T12:29:06.784+01</t>
  </si>
  <si>
    <t>2020-09-24T12:37:13.387+01</t>
  </si>
  <si>
    <t>2020-11-11T12:53:26</t>
  </si>
  <si>
    <t>632baa33-4830-4783-8fc9-3628d0f38096</t>
  </si>
  <si>
    <t>2020-09-24T15:32:15.361+01</t>
  </si>
  <si>
    <t>2020-09-24T15:43:53.265+01</t>
  </si>
  <si>
    <t>camion</t>
  </si>
  <si>
    <t>subventions dotation_materiaux dotation_equipements personnel rehab_equipements</t>
  </si>
  <si>
    <t>personnel personnel_maintenance rehab_equipements</t>
  </si>
  <si>
    <t>2020-11-11T12:53:30</t>
  </si>
  <si>
    <t>cc9dbc4d-50a6-44ac-b798-50d69abdc523</t>
  </si>
  <si>
    <t>2020-09-24T15:50:52.559+01</t>
  </si>
  <si>
    <t>2020-09-24T16:02:43.236+01</t>
  </si>
  <si>
    <t>materiel respect_mode_gestion finance_maintenance</t>
  </si>
  <si>
    <t>subventions dotation_materiaux dotation_equipements personnel personnel_maintenance rehab_bâtiments rehab_equipements construction rehabilitation autre</t>
  </si>
  <si>
    <t>Clôture de points d'eau</t>
  </si>
  <si>
    <t>2020-11-11T12:53:31</t>
  </si>
  <si>
    <t>fd91644c-8554-4b59-a3db-96027b055e0f</t>
  </si>
  <si>
    <t>2020-09-24T14:49:20.526+01</t>
  </si>
  <si>
    <t>2020-09-24T14:57:17.626+01</t>
  </si>
  <si>
    <t>ong_nationales</t>
  </si>
  <si>
    <t>2020-11-11T12:53:38</t>
  </si>
  <si>
    <t>4da3afa1-dbaa-407e-b612-42a17e0b416f</t>
  </si>
  <si>
    <t>2020-09-28T09:03:46.777+01</t>
  </si>
  <si>
    <t>2020-09-28T09:19:06.436+01</t>
  </si>
  <si>
    <t>Insuffisanse eau</t>
  </si>
  <si>
    <t>dotation_materiaux dotation_equipements personnel_maintenance rehab_bâtiments</t>
  </si>
  <si>
    <t>dotation_equipements personnel_maintenance formation_gestion</t>
  </si>
  <si>
    <t>2020-11-11T12:53:41</t>
  </si>
  <si>
    <t>7a9f4528-ab01-46ac-a80e-7ea7871e7842</t>
  </si>
  <si>
    <t>2020-09-28T09:44:21.378+01</t>
  </si>
  <si>
    <t>2020-09-28T10:12:41.692+01</t>
  </si>
  <si>
    <t>poste_sante</t>
  </si>
  <si>
    <t>DATOKO</t>
  </si>
  <si>
    <t>maternite</t>
  </si>
  <si>
    <t>preval rougeole</t>
  </si>
  <si>
    <t>population autre</t>
  </si>
  <si>
    <t>Prise en charge</t>
  </si>
  <si>
    <t>ressources_fin decentralisation_salaires medicaments_nb medicaments_qualite medicaments_rue equipements personnels communication vols sur_utilisation information influences_politiques</t>
  </si>
  <si>
    <t>subventions dotation_materiaux dotation_equipements personnel personnel_maintenance rehab_bâtiments rehab_equipements construction rehabilitation sensibilisation</t>
  </si>
  <si>
    <t>subventions dotation_materiaux rehabilitation medicaments personnel dotation_equipements_medicaux dotation_equipements_maintenance formations_techniques formations_gestion</t>
  </si>
  <si>
    <t>symptomes propagation lavage_mains distanciations masque</t>
  </si>
  <si>
    <t>2020-11-11T12:53:43</t>
  </si>
  <si>
    <t>d2f65ef0-dc37-4e1c-9e1d-298620cf5d95</t>
  </si>
  <si>
    <t>2020-09-24T15:00:39.092+01</t>
  </si>
  <si>
    <t>2020-09-24T15:12:28.314+01</t>
  </si>
  <si>
    <t>rehab_bâtiments</t>
  </si>
  <si>
    <t>2020-11-11T12:53:50</t>
  </si>
  <si>
    <t>ca52be23-54e9-4d22-b479-da24c632ba99</t>
  </si>
  <si>
    <t>2020-09-28T09:29:13.495+01</t>
  </si>
  <si>
    <t>2020-09-28T09:44:20.751+01</t>
  </si>
  <si>
    <t>dotation_materiaux personnel_maintenance rehab_equipements formation_gestion</t>
  </si>
  <si>
    <t>2020-11-11T12:53:52</t>
  </si>
  <si>
    <t>398726d2-aa5e-4ff5-b004-4728d8140971</t>
  </si>
  <si>
    <t>2020-09-28T11:46:51.657+01</t>
  </si>
  <si>
    <t>2020-09-28T12:00:12.148+01</t>
  </si>
  <si>
    <t>2020-11-11T12:53:53</t>
  </si>
  <si>
    <t>a7417dbf-6780-4e7e-9da8-810a8ed21ae8</t>
  </si>
  <si>
    <t>2020-09-24T15:29:12.671+01</t>
  </si>
  <si>
    <t>2020-09-24T15:34:09.724+01</t>
  </si>
  <si>
    <t>assechement_source</t>
  </si>
  <si>
    <t>2020-11-11T12:53:58</t>
  </si>
  <si>
    <t>5493757d-1f11-4df8-b1a7-f70833273123</t>
  </si>
  <si>
    <t>2020-09-28T14:28:37.493+01</t>
  </si>
  <si>
    <t>2020-09-28T14:39:18.330+01</t>
  </si>
  <si>
    <t>materiel personnels_qualifies finance_maintenance</t>
  </si>
  <si>
    <t>dotation_equipements rehab_bâtiments construction rehabilitation autre</t>
  </si>
  <si>
    <t>Clôture au tour de points d'eau</t>
  </si>
  <si>
    <t>2020-11-11T12:54:02</t>
  </si>
  <si>
    <t>4b0e96a8-e7d8-4177-b385-c958318a46d7</t>
  </si>
  <si>
    <t>2020-09-28T10:21:00.032+01</t>
  </si>
  <si>
    <t>2020-09-28T10:50:08.289+01</t>
  </si>
  <si>
    <t>maisons_alentours</t>
  </si>
  <si>
    <t>dotation_materiaux dotation_equipements rehab_bâtiments</t>
  </si>
  <si>
    <t>dotation_equipements rehab_equipements formation_gestion</t>
  </si>
  <si>
    <t>2020-11-11T12:54:04</t>
  </si>
  <si>
    <t>216e9b63-8c88-4e0c-84cc-62b8aa22ff8a</t>
  </si>
  <si>
    <t>2020-09-24T15:47:26.527+01</t>
  </si>
  <si>
    <t>2020-09-24T15:57:13.009+01</t>
  </si>
  <si>
    <t>secteur_prive</t>
  </si>
  <si>
    <t>2020-11-11T12:54:07</t>
  </si>
  <si>
    <t>898bd942-3a7e-470e-89ba-a684ebbec25f</t>
  </si>
  <si>
    <t>2020-09-28T15:47:23.986+01</t>
  </si>
  <si>
    <t>2020-09-28T15:58:30.182+01</t>
  </si>
  <si>
    <t>financier finance_maintenance autre</t>
  </si>
  <si>
    <t>Manque de carburant</t>
  </si>
  <si>
    <t>subventions dotation_materiaux</t>
  </si>
  <si>
    <t>2020-11-11T12:54:14</t>
  </si>
  <si>
    <t>fa91de01-d31c-4871-bc73-9ce583225241</t>
  </si>
  <si>
    <t>2020-09-24T15:57:34.141+01</t>
  </si>
  <si>
    <t>2020-09-24T16:14:14.793+01</t>
  </si>
  <si>
    <t>2020-11-11T12:54:20</t>
  </si>
  <si>
    <t>20bc2092-09a0-45b6-a97d-2e677a8fe344</t>
  </si>
  <si>
    <t>2020-09-28T11:30:51.070+01</t>
  </si>
  <si>
    <t>2020-09-28T11:42:02.122+01</t>
  </si>
  <si>
    <t>destruction deplaces</t>
  </si>
  <si>
    <t>2020-11-11T12:54:21</t>
  </si>
  <si>
    <t>83c34803-fcf7-40ed-bfc3-2519ee158609</t>
  </si>
  <si>
    <t>2020-09-28T12:13:50.998+01</t>
  </si>
  <si>
    <t>2020-09-28T12:29:10.941+01</t>
  </si>
  <si>
    <t>2020-11-11T12:54:35</t>
  </si>
  <si>
    <t>f1499b4a-1ff6-48c6-b49b-09b896562b59</t>
  </si>
  <si>
    <t>2020-09-28T08:40:45.594+01</t>
  </si>
  <si>
    <t>2020-09-28T09:17:26.596+01</t>
  </si>
  <si>
    <t>École mandao</t>
  </si>
  <si>
    <t>decouragement</t>
  </si>
  <si>
    <t>achat_materiel</t>
  </si>
  <si>
    <t>professeurs_qualifies</t>
  </si>
  <si>
    <t>rehabilitations constructions</t>
  </si>
  <si>
    <t>La clôture</t>
  </si>
  <si>
    <t>2020-11-11T12:54:41</t>
  </si>
  <si>
    <t>623e3087-9fef-4c8c-9201-e40399a9bc57</t>
  </si>
  <si>
    <t>2020-09-28T12:38:55.936+01</t>
  </si>
  <si>
    <t>2020-09-28T12:50:44.249+01</t>
  </si>
  <si>
    <t>financier materiel respect_mode_gestion</t>
  </si>
  <si>
    <t>2020-11-11T12:54:48</t>
  </si>
  <si>
    <t>3fce1e1c-24f2-4682-9ae3-544ad8ee7549</t>
  </si>
  <si>
    <t>2020-09-28T09:59:56.701+01</t>
  </si>
  <si>
    <t>2020-09-28T10:34:28.851+01</t>
  </si>
  <si>
    <t>École Mission elim</t>
  </si>
  <si>
    <t>fuite_enseignants</t>
  </si>
  <si>
    <t>ressources_fin</t>
  </si>
  <si>
    <t>2020-11-11T12:54:56</t>
  </si>
  <si>
    <t>f017c269-f817-4fa8-a326-b20012e40e49</t>
  </si>
  <si>
    <t>2020-09-28T14:49:38.593+01</t>
  </si>
  <si>
    <t>2020-09-28T15:02:15.705+01</t>
  </si>
  <si>
    <t>ong_nationales ong_internationales</t>
  </si>
  <si>
    <t>financier materiel personnels_qualifies insecurite respect_mode_gestion mauvaise_qualite finance_maintenance</t>
  </si>
  <si>
    <t>2020-11-11T12:55:05</t>
  </si>
  <si>
    <t>100858bd-7de9-49de-855a-70c3cabd50af</t>
  </si>
  <si>
    <t>2020-09-28T10:52:47.772+01</t>
  </si>
  <si>
    <t>2020-09-28T11:11:06.378+01</t>
  </si>
  <si>
    <t>École AFaps</t>
  </si>
  <si>
    <t>materiaux_rehab</t>
  </si>
  <si>
    <t>2020-11-11T12:55:08</t>
  </si>
  <si>
    <t>176cfaa9-c06f-4c82-8e99-f1eaa95ad3a2</t>
  </si>
  <si>
    <t>2020-09-28T11:47:23.377+01</t>
  </si>
  <si>
    <t>2020-09-28T11:53:44.869+01</t>
  </si>
  <si>
    <t>2020-11-11T12:55:22</t>
  </si>
  <si>
    <t>5e89ae4d-6c0a-408f-8f69-a5b244d2d9e6</t>
  </si>
  <si>
    <t>2020-09-28T11:55:16.334+01</t>
  </si>
  <si>
    <t>2020-09-28T12:01:38.244+01</t>
  </si>
  <si>
    <t>2020-11-11T12:55:43</t>
  </si>
  <si>
    <t>ff74fbe8-c398-4d37-8cb1-4a8e245c573d</t>
  </si>
  <si>
    <t>2020-09-28T12:29:50.277+01</t>
  </si>
  <si>
    <t>2020-09-28T12:33:37.551+01</t>
  </si>
  <si>
    <t>2020-11-11T12:55:56</t>
  </si>
  <si>
    <t>61280a6f-2612-4e9b-8064-32eaa613742c</t>
  </si>
  <si>
    <t>2020-09-28T14:31:27.612+01</t>
  </si>
  <si>
    <t>2020-09-28T14:35:33.806+01</t>
  </si>
  <si>
    <t>2020-11-11T12:56:07</t>
  </si>
  <si>
    <t>7366ebc0-b383-4267-ae75-8cd6502157cb</t>
  </si>
  <si>
    <t>2020-09-28T15:27:09.337+01</t>
  </si>
  <si>
    <t>2020-09-28T15:32:07.018+01</t>
  </si>
  <si>
    <t>2020-11-11T12:56:19</t>
  </si>
  <si>
    <t xml:space="preserve">proprietaire </t>
  </si>
  <si>
    <t>dommages_evenements</t>
  </si>
  <si>
    <t>Quantités insuffisantes</t>
  </si>
  <si>
    <t xml:space="preserve">ong_Internationales </t>
  </si>
  <si>
    <t>Dotation de carburant</t>
  </si>
  <si>
    <t>=&gt; points d'eau sont tous gratuits</t>
  </si>
  <si>
    <t xml:space="preserve">Type de latrines ? </t>
  </si>
  <si>
    <t xml:space="preserve">Latrines communautaires </t>
  </si>
  <si>
    <t xml:space="preserve">Latrines institutionnelles (gérées par la mairie)  </t>
  </si>
  <si>
    <t xml:space="preserve">Latrines privées partagées  </t>
  </si>
  <si>
    <t xml:space="preserve">Latrines fonctionnelles ? </t>
  </si>
  <si>
    <t xml:space="preserve">NON - inutilisables </t>
  </si>
  <si>
    <t xml:space="preserve">ENDOMMAGEES mais fonctionnent toujours </t>
  </si>
  <si>
    <t xml:space="preserve">TOTAL fonctionnelles </t>
  </si>
  <si>
    <t>Si endommagées, quels sont les besoins ?</t>
  </si>
  <si>
    <t xml:space="preserve">Maintenance / Entretien </t>
  </si>
  <si>
    <t xml:space="preserve">Réhabilitation </t>
  </si>
  <si>
    <t xml:space="preserve">Reconstruction totale des latrines </t>
  </si>
  <si>
    <t>Nettoyage (latrines non hygiéniques)</t>
  </si>
  <si>
    <t xml:space="preserve">Si endommagées, depuis combien de temps ? </t>
  </si>
  <si>
    <t xml:space="preserve">Type de bâti ? </t>
  </si>
  <si>
    <t xml:space="preserve">Latrines en dur avec une porte  </t>
  </si>
  <si>
    <t xml:space="preserve">Latrines en dur sans porte  </t>
  </si>
  <si>
    <t xml:space="preserve">Latrines séparées par un tissu / bâche </t>
  </si>
  <si>
    <t xml:space="preserve">Latrines séparées par genre ? </t>
  </si>
  <si>
    <t xml:space="preserve">Destruction de l'infrastructure  </t>
  </si>
  <si>
    <t xml:space="preserve">Latrines non fermées  </t>
  </si>
  <si>
    <t xml:space="preserve">Latrines saturées  </t>
  </si>
  <si>
    <t xml:space="preserve">Latrines non séparées par genre  </t>
  </si>
  <si>
    <t xml:space="preserve">Présence de serpents  </t>
  </si>
  <si>
    <t xml:space="preserve">NON </t>
  </si>
  <si>
    <t xml:space="preserve">Latrines fonctionnelles en saison des pluies ? </t>
  </si>
  <si>
    <t xml:space="preserve">NON - inondées </t>
  </si>
  <si>
    <t xml:space="preserve">Si oui, combien pour les hommes ? </t>
  </si>
  <si>
    <t xml:space="preserve">Si oui, combien pour les femmes ? </t>
  </si>
  <si>
    <t xml:space="preserve">Nb de blocs de latrines : </t>
  </si>
  <si>
    <t xml:space="preserve">Latrines avec verrou ? </t>
  </si>
  <si>
    <t xml:space="preserve">Oui </t>
  </si>
  <si>
    <t>Oui mais pas tous/toutes</t>
  </si>
  <si>
    <t xml:space="preserve">Latrines accessibles la nuit ? </t>
  </si>
  <si>
    <t xml:space="preserve">Elles sont fermées  </t>
  </si>
  <si>
    <t xml:space="preserve">Elles ne sont pas éclairées  </t>
  </si>
  <si>
    <t xml:space="preserve">La zone n'est pas sécurisée  </t>
  </si>
  <si>
    <t xml:space="preserve">Latrines avec un dispositif de lavage de mains ? </t>
  </si>
  <si>
    <t xml:space="preserve">Nombre moyen de ménages qui utilisent les latrines : </t>
  </si>
  <si>
    <t xml:space="preserve">Temps d'attente moyen ? </t>
  </si>
  <si>
    <r>
      <t xml:space="preserve">Proportion 
</t>
    </r>
    <r>
      <rPr>
        <i/>
        <sz val="9"/>
        <color theme="1"/>
        <rFont val="Arial Narrow"/>
        <family val="2"/>
      </rPr>
      <t xml:space="preserve">(des latrines fonctionnelles) </t>
    </r>
  </si>
  <si>
    <t xml:space="preserve">Aucun </t>
  </si>
  <si>
    <t>Changement de la fréquentation ?</t>
  </si>
  <si>
    <t xml:space="preserve">Autres latrines aux alentours détruites ou plus fonctionnelles  </t>
  </si>
  <si>
    <t xml:space="preserve">Insécurité dans les autres zones de la localité  </t>
  </si>
  <si>
    <t xml:space="preserve">Augmentation de la population de la localité  </t>
  </si>
  <si>
    <t xml:space="preserve">Arrivée massive de populations déplacées dans la localité  </t>
  </si>
  <si>
    <t xml:space="preserve">Plus de sensibilisation EHA dans la localité  </t>
  </si>
  <si>
    <t xml:space="preserve">Les latrines ont été réhabilitées après les événements </t>
  </si>
  <si>
    <t xml:space="preserve">Latrines non hygiéniques  </t>
  </si>
  <si>
    <t>Manque de maintenance des latrines</t>
  </si>
  <si>
    <t xml:space="preserve">Diminution de la population de la zone  </t>
  </si>
  <si>
    <t xml:space="preserve">Les habitants utilisent des latrines privées </t>
  </si>
  <si>
    <t xml:space="preserve">Par utilisation  </t>
  </si>
  <si>
    <t xml:space="preserve">Par semaine   </t>
  </si>
  <si>
    <t xml:space="preserve">Par mois  </t>
  </si>
  <si>
    <t xml:space="preserve">Si payant, quelles modalités :  </t>
  </si>
  <si>
    <t xml:space="preserve">Prix moyen :  </t>
  </si>
  <si>
    <t xml:space="preserve">Le prix des équipements a changé  </t>
  </si>
  <si>
    <t xml:space="preserve">Le coût du personnel a changé </t>
  </si>
  <si>
    <t xml:space="preserve">Le coût de la maintenance a changé  </t>
  </si>
  <si>
    <t xml:space="preserve">Le comité de gestion a changé </t>
  </si>
  <si>
    <r>
      <t xml:space="preserve">Proportion 
</t>
    </r>
    <r>
      <rPr>
        <i/>
        <sz val="9"/>
        <color theme="1"/>
        <rFont val="Arial Narrow"/>
        <family val="2"/>
      </rPr>
      <t xml:space="preserve">(des latrines payantes) </t>
    </r>
  </si>
  <si>
    <t>Banque Mondiale et l'ONG COOPI</t>
  </si>
  <si>
    <t>Banque Mondiale et l'ONG NRC</t>
  </si>
  <si>
    <t xml:space="preserve">ong_internationales </t>
  </si>
  <si>
    <t>Banque mondiale/NRC</t>
  </si>
  <si>
    <t xml:space="preserve">Si oui, type de points d'eau ? </t>
  </si>
  <si>
    <t xml:space="preserve">Pompe à main </t>
  </si>
  <si>
    <t>Pompe à pied</t>
  </si>
  <si>
    <t>Eau ramenée par camion ou bladder.</t>
  </si>
  <si>
    <t xml:space="preserve">Source NON aménagée </t>
  </si>
  <si>
    <t>Source aménagée</t>
  </si>
  <si>
    <t>Puits NON protégé</t>
  </si>
  <si>
    <t>Fontaine publique</t>
  </si>
  <si>
    <t xml:space="preserve">decouragement </t>
  </si>
  <si>
    <r>
      <t xml:space="preserve">Coût moyen d'une année scolaire - </t>
    </r>
    <r>
      <rPr>
        <i/>
        <sz val="9"/>
        <color theme="1"/>
        <rFont val="Arial Narrow"/>
        <family val="2"/>
      </rPr>
      <t>écoles PUBLIQUES</t>
    </r>
    <r>
      <rPr>
        <sz val="10"/>
        <color theme="1"/>
        <rFont val="Arial Narrow"/>
        <family val="2"/>
      </rPr>
      <t xml:space="preserve"> </t>
    </r>
    <r>
      <rPr>
        <i/>
        <sz val="11"/>
        <color theme="1"/>
        <rFont val="Arial Narrow"/>
        <family val="2"/>
      </rPr>
      <t>?</t>
    </r>
  </si>
  <si>
    <r>
      <t xml:space="preserve">Coût moyen d'une année scolaire - </t>
    </r>
    <r>
      <rPr>
        <i/>
        <sz val="9"/>
        <color theme="1"/>
        <rFont val="Arial Narrow"/>
        <family val="2"/>
      </rPr>
      <t xml:space="preserve">écoles PRIVEES </t>
    </r>
    <r>
      <rPr>
        <i/>
        <sz val="11"/>
        <color theme="1"/>
        <rFont val="Arial Narrow"/>
        <family val="2"/>
      </rPr>
      <t>?</t>
    </r>
  </si>
  <si>
    <t xml:space="preserve">salaires materiel </t>
  </si>
  <si>
    <t>constructions autre</t>
  </si>
  <si>
    <t>Marché central d'Alindao</t>
  </si>
  <si>
    <t>=&gt; aucune autre taxe</t>
  </si>
  <si>
    <t xml:space="preserve">aucun </t>
  </si>
  <si>
    <t>Centre de santé urbain d'Alindao</t>
  </si>
  <si>
    <t>Fièvre jaune, Meningite</t>
  </si>
  <si>
    <t>Premier bâtiment construit par le COGES</t>
  </si>
  <si>
    <t>11e46dea-47e7-40c7-9c67-1c5ad5316952</t>
  </si>
  <si>
    <t>2020-11-04T08:25:45.248+01:00</t>
  </si>
  <si>
    <t>2020-11-04T08:46:42.359+01:00</t>
  </si>
  <si>
    <t>2020-11-04</t>
  </si>
  <si>
    <t>mingala</t>
  </si>
  <si>
    <t>aug_effectifs</t>
  </si>
  <si>
    <t>equipement autre materiel professeurs_qualifies</t>
  </si>
  <si>
    <t>ape ong_Internationales chef_village chef_quartiers</t>
  </si>
  <si>
    <t>formations_mp autre</t>
  </si>
  <si>
    <t>equipements constructions materiel_didactique formations_mp personnels subventions</t>
  </si>
  <si>
    <t>2020-11-11T12:52:44</t>
  </si>
  <si>
    <t>f318abf0-3da4-462d-9cae-bbaf4db050f6</t>
  </si>
  <si>
    <t>2020-11-04T09:43:58.752+01:00</t>
  </si>
  <si>
    <t>2020-11-04T10:11:46.499+01:00</t>
  </si>
  <si>
    <t>chef_village ong_Internationales chef_quartiers leaders_communautaires</t>
  </si>
  <si>
    <t>dotation_materiaux rehab_equipements construction</t>
  </si>
  <si>
    <t>884818d6-cb9a-403f-9ab1-c37306cd66cc</t>
  </si>
  <si>
    <t>2020-11-04T15:07:59.705+01:00</t>
  </si>
  <si>
    <t>2020-11-04T15:17:10.581+01:00</t>
  </si>
  <si>
    <t>construction rehab_equipements dotation_materiaux</t>
  </si>
  <si>
    <t>2020-11-11T12:52:53</t>
  </si>
  <si>
    <t>d284af4d-9fe6-4af6-b6a6-6d982544cea2</t>
  </si>
  <si>
    <t>2020-11-04T09:00:06.762+01</t>
  </si>
  <si>
    <t>2020-11-04T09:15:39.011+01</t>
  </si>
  <si>
    <t>chef_quartiers chef_village leaders_religieux</t>
  </si>
  <si>
    <t>dotation_materiaux construction rehabilitation</t>
  </si>
  <si>
    <t>2020-11-11T12:56:15</t>
  </si>
  <si>
    <t>5663dd98-22e4-4c35-b04c-c27f3b0a96b8</t>
  </si>
  <si>
    <t>2020-11-04T10:29:01.630+01</t>
  </si>
  <si>
    <t>2020-11-04T10:44:19.004+01</t>
  </si>
  <si>
    <t>mauvaise_qualite autre</t>
  </si>
  <si>
    <t>2020-11-11T12:56:26</t>
  </si>
  <si>
    <t>da0a3f10-0b71-4972-8521-c5a2547f5118</t>
  </si>
  <si>
    <t>2020-11-04T15:04:18.892+01</t>
  </si>
  <si>
    <t>2020-11-04T15:25:54.218+01</t>
  </si>
  <si>
    <t>rehabilitation autre</t>
  </si>
  <si>
    <t>mauvaise_qualite finance_maintenance</t>
  </si>
  <si>
    <t>subventions dotation_materiaux dotation_equipements rehab_equipements construction rehabilitation</t>
  </si>
  <si>
    <t>2020-11-11T12:56:36</t>
  </si>
  <si>
    <t>f1fef2a9-80fa-4702-9171-792b90af05c1</t>
  </si>
  <si>
    <t>2020-11-04T07:43:12.383+01</t>
  </si>
  <si>
    <t>2020-11-04T08:09:11.083+01</t>
  </si>
  <si>
    <t>manque_mobilier</t>
  </si>
  <si>
    <t>Banque mondiale</t>
  </si>
  <si>
    <t>aug_population</t>
  </si>
  <si>
    <t>vols</t>
  </si>
  <si>
    <t>equipements personnels</t>
  </si>
  <si>
    <t>2020-11-11T12:57:48</t>
  </si>
  <si>
    <t>a33f13ee-a6e7-4180-ace9-c27ac77e09b6</t>
  </si>
  <si>
    <t>2020-11-04T08:42:39.110+01</t>
  </si>
  <si>
    <t>2020-11-04T08:57:53.084+01</t>
  </si>
  <si>
    <t>2020-11-11T12:57:59</t>
  </si>
  <si>
    <t>3a4a8f3a-538f-4cb2-9b55-0fb630f41359</t>
  </si>
  <si>
    <t>2020-11-04T09:07:38.868+01</t>
  </si>
  <si>
    <t>2020-11-04T09:22:40.725+01</t>
  </si>
  <si>
    <t>2020-11-11T12:58:10</t>
  </si>
  <si>
    <t>da1c54b8-14b7-4964-b68c-ea8555e4b88c</t>
  </si>
  <si>
    <t>2020-11-04T09:34:52.227+01</t>
  </si>
  <si>
    <t>2020-11-04T09:40:55.984+01</t>
  </si>
  <si>
    <t>2020-11-11T12:58:23</t>
  </si>
  <si>
    <t>4b35d53f-d014-40e8-9b49-3a16dffdc256</t>
  </si>
  <si>
    <t>2020-11-04T10:13:37.833+01</t>
  </si>
  <si>
    <t>2020-11-04T11:18:01.291+01</t>
  </si>
  <si>
    <t xml:space="preserve">Marché central </t>
  </si>
  <si>
    <t>alimentaires nfi</t>
  </si>
  <si>
    <t>appro</t>
  </si>
  <si>
    <t>semaine</t>
  </si>
  <si>
    <t>manque_infra</t>
  </si>
  <si>
    <t>rehabilitation_routes rehabilitation_ponts</t>
  </si>
  <si>
    <t>2020-11-11T12:58:33</t>
  </si>
  <si>
    <t>e5c6b7d1-bf5a-4008-8e84-8de0211c9baa</t>
  </si>
  <si>
    <t>2020-11-04T15:09:29.080+01</t>
  </si>
  <si>
    <t>2020-11-04T15:17:42.028+01</t>
  </si>
  <si>
    <t>2020-11-11T12:58:44</t>
  </si>
  <si>
    <t>4089b337-1fcf-4715-9df4-a858b1cd3af0</t>
  </si>
  <si>
    <t>2020-11-04T08:05:39.595+01</t>
  </si>
  <si>
    <t>2020-11-04T08:45:30.504+01</t>
  </si>
  <si>
    <t>Centre de santé de mingala</t>
  </si>
  <si>
    <t>accouchement maladies_infectieuses chirurgie autre</t>
  </si>
  <si>
    <t>nouveaux_soins reference_ong</t>
  </si>
  <si>
    <t>gvt mairie</t>
  </si>
  <si>
    <t>ressources_fin decentralisation_salaires medicaments_nb medicaments_rue equipements personnels communication insecurite</t>
  </si>
  <si>
    <t>mairie ong_Internationales leaders_communautaires chef_quartiers chef_village leaders_religieux</t>
  </si>
  <si>
    <t>subventions dotation_materiaux rehabilitation medicaments personnel dotation_equipements_medicaux dotation_equipements_maintenance formations_techniques formations_gestion supervision_rs supervision_district</t>
  </si>
  <si>
    <t>2020-11-11T13:33:14</t>
  </si>
  <si>
    <t>8557fb49-4e7c-446a-aeca-87284be91b33</t>
  </si>
  <si>
    <t>2020-11-04T09:31:10.301+01</t>
  </si>
  <si>
    <t>2020-11-04T09:42:44.479+01</t>
  </si>
  <si>
    <t>non_destruction</t>
  </si>
  <si>
    <t>dotation_materiaux dotation_equipements personnel_maintenance rehab_bâtiments rehab_equipements construction rehabilitation</t>
  </si>
  <si>
    <t>2020-11-11T13:33:36</t>
  </si>
  <si>
    <t>d3eed5ad-c4bc-4b9c-92ce-650bc844cc8b</t>
  </si>
  <si>
    <t>2020-11-04T09:53:33.712+01</t>
  </si>
  <si>
    <t>2020-11-04T10:05:55.774+01</t>
  </si>
  <si>
    <t>destruction autre</t>
  </si>
  <si>
    <t>respect_mode_gestion mauvaise_qualite finance_maintenance</t>
  </si>
  <si>
    <t>2020-11-11T13:33:55</t>
  </si>
  <si>
    <t>3c3908bf-e0e3-4c39-af90-a4de9111c7bc</t>
  </si>
  <si>
    <t>2020-11-04T10:33:43.032+01</t>
  </si>
  <si>
    <t>2020-11-04T10:40:09.417+01</t>
  </si>
  <si>
    <t>financier materiel respect_mode_gestion finance_maintenance</t>
  </si>
  <si>
    <t>2020-11-11T13:34:16</t>
  </si>
  <si>
    <t>d35935ab-8c37-4018-8c6d-317f6828ec3c</t>
  </si>
  <si>
    <t>2020-11-04T11:16:17.735+01</t>
  </si>
  <si>
    <t>2020-11-04T11:21:26.581+01</t>
  </si>
  <si>
    <t>subventions dotation_materiaux dotation_equipements rehab_bâtiments rehab_equipements</t>
  </si>
  <si>
    <t>2020-11-11T13:34:37</t>
  </si>
  <si>
    <t xml:space="preserve">=&gt; aucun point d'eau non fonctionnel </t>
  </si>
  <si>
    <t>Parce que le point est mal réhabilité</t>
  </si>
  <si>
    <t>Distance des points d'eau</t>
  </si>
  <si>
    <t>Ecole sous-préfectorale de Mingala</t>
  </si>
  <si>
    <t>École mixte de Kabou 4</t>
  </si>
  <si>
    <t>Pas de bâtiment</t>
  </si>
  <si>
    <t>Niveau de formation des maître-parents suffisant ?</t>
  </si>
  <si>
    <t>=&gt; Manque de bâtiments</t>
  </si>
  <si>
    <t>Prise en charge de maître-parents</t>
  </si>
  <si>
    <t>=&gt; taxe payée à la mairie</t>
  </si>
  <si>
    <t>e095e74b-6aed-485e-89c7-31416fe46050</t>
  </si>
  <si>
    <t>2020-10-09T09:12:49.602+01:00</t>
  </si>
  <si>
    <t>2020-10-09T10:15:31.423+01:00</t>
  </si>
  <si>
    <t>2020-10-09</t>
  </si>
  <si>
    <t>mobaye</t>
  </si>
  <si>
    <t>2020-11-11T12:52:02</t>
  </si>
  <si>
    <t>81d6052a-9454-46ed-b2b0-5cf4732aba1c</t>
  </si>
  <si>
    <t>2020-10-09T11:05:39.006+01:00</t>
  </si>
  <si>
    <t>2020-10-09T11:38:52.464+01:00</t>
  </si>
  <si>
    <t>pression financier</t>
  </si>
  <si>
    <t>2020-11-11T12:52:04</t>
  </si>
  <si>
    <t>b7093d6b-5dbe-4445-b858-4c562d1a73c0</t>
  </si>
  <si>
    <t>2020-10-09T14:28:11.640+01:00</t>
  </si>
  <si>
    <t>2020-10-09T15:02:17.729+01:00</t>
  </si>
  <si>
    <t>Marché central</t>
  </si>
  <si>
    <t>alimentaires semences materiel_scolaire medicaments</t>
  </si>
  <si>
    <t>samedi lundi mardi mercredi jeudi vendredi dimanche</t>
  </si>
  <si>
    <t>appro baisse_prix diminution_acheteurs</t>
  </si>
  <si>
    <t>achat_individuel_producteurs</t>
  </si>
  <si>
    <t>transport emplacement</t>
  </si>
  <si>
    <t>transporteur</t>
  </si>
  <si>
    <t>mois</t>
  </si>
  <si>
    <t>groupement_biens</t>
  </si>
  <si>
    <t>mauvaise_routes manque_ressources_fin taxation_ga</t>
  </si>
  <si>
    <t>rehabilitation_routes rehabilitation_ponts subventions</t>
  </si>
  <si>
    <t>2020-11-11T12:52:07</t>
  </si>
  <si>
    <t>5331820a-ae04-416d-a0b5-535c692e3465</t>
  </si>
  <si>
    <t>2020-10-13T11:08:16.598+01:00</t>
  </si>
  <si>
    <t>2020-10-13T11:49:09.577+01:00</t>
  </si>
  <si>
    <t>2020-10-13</t>
  </si>
  <si>
    <t>Par rapport aux capacités des enseignants</t>
  </si>
  <si>
    <t>achat_materiel salaires</t>
  </si>
  <si>
    <t>materiel professeurs_qualifies vols insecurite equipement</t>
  </si>
  <si>
    <t>personnels equipements materiaux_rehab materiel_didactique formations_mp</t>
  </si>
  <si>
    <t>2020-11-11T12:52:11</t>
  </si>
  <si>
    <t>a40dc633-7a82-434e-bbf1-0e2e51f1a6d9</t>
  </si>
  <si>
    <t>2020-10-09T09:10:17.535+01</t>
  </si>
  <si>
    <t>2020-10-09T10:19:12.001+01</t>
  </si>
  <si>
    <t>financier finance_maintenance</t>
  </si>
  <si>
    <t>2020-11-11T12:54:27</t>
  </si>
  <si>
    <t>566b3d5e-5385-4f11-9a2a-5e0e8190278c</t>
  </si>
  <si>
    <t>2020-10-09T11:51:22.593+01</t>
  </si>
  <si>
    <t>2020-10-09T15:22:44.467+01</t>
  </si>
  <si>
    <t>ong_nationales leaders_communautaires</t>
  </si>
  <si>
    <t>2020-11-11T12:54:51</t>
  </si>
  <si>
    <t>c713c9e5-bbb0-4de8-a061-f2a7899bacf1</t>
  </si>
  <si>
    <t>2020-10-13T11:05:22.206+01</t>
  </si>
  <si>
    <t>2020-10-13T01:02:30.376+01</t>
  </si>
  <si>
    <t>6e7bd85b-9b88-4aff-a739-704f9cbbb99d</t>
  </si>
  <si>
    <t>2020-10-13T02:20:51.776+01</t>
  </si>
  <si>
    <t>2020-10-13T15:50:42.097+01</t>
  </si>
  <si>
    <t>faibles</t>
  </si>
  <si>
    <t>consult_curatives premiers_soins consult_prenatales accouchement mas violences_sexuelles maladies_infectieuses urgences_vitales chirurgie pediatrie maternite soins_intensifs</t>
  </si>
  <si>
    <t>psy_qualifie</t>
  </si>
  <si>
    <t>enfants femme_enceinte</t>
  </si>
  <si>
    <t>salaires</t>
  </si>
  <si>
    <t>medicaments_nb equipements personnels</t>
  </si>
  <si>
    <t>ong_Internationales leaders_communautaires chef_quartiers leaders_religieux</t>
  </si>
  <si>
    <t>non_durable</t>
  </si>
  <si>
    <t>dotation_equipements_medicaux</t>
  </si>
  <si>
    <t>symptomes transmission</t>
  </si>
  <si>
    <t>propagation lavage_mains distanciations masque rassemblement</t>
  </si>
  <si>
    <t>2020-11-11T12:55:20</t>
  </si>
  <si>
    <t>736d59e3-83b7-497e-ae0e-23ccbae85762</t>
  </si>
  <si>
    <t>2020-10-09T09:48:17.091+01</t>
  </si>
  <si>
    <t>2020-10-09T10:06:36.442+01</t>
  </si>
  <si>
    <t>2020-11-11T12:55:25</t>
  </si>
  <si>
    <t>b34ecbad-021d-458b-8729-d123f1a64953</t>
  </si>
  <si>
    <t>2020-10-09T09:15:19.799+01</t>
  </si>
  <si>
    <t>2020-10-09T09:27:09.626+01</t>
  </si>
  <si>
    <t>materiel personnels_qualifies</t>
  </si>
  <si>
    <t>dotation_equipements personnel_maintenance</t>
  </si>
  <si>
    <t>2020-11-11T12:56:30</t>
  </si>
  <si>
    <t>87557252-ec3f-49c7-ae43-fc28e748d259</t>
  </si>
  <si>
    <t>2020-10-09T10:46:34.176+01</t>
  </si>
  <si>
    <t>2020-10-09T12:09:22.982+01</t>
  </si>
  <si>
    <t>personnels_qualifies finance_maintenance</t>
  </si>
  <si>
    <t>ong_nationales ong_Internationales chef_village leaders_religieux</t>
  </si>
  <si>
    <t>personnel_maintenance rehab_equipements</t>
  </si>
  <si>
    <t>2020-11-11T12:56:40</t>
  </si>
  <si>
    <t>dc5d0851-8d87-4a06-8cee-da172cc746c2</t>
  </si>
  <si>
    <t>2020-10-09T15:14:18.231+01</t>
  </si>
  <si>
    <t>2020-10-09T15:43:12.293+01</t>
  </si>
  <si>
    <t>activites_recreatives</t>
  </si>
  <si>
    <t>ressources_fin materiel equipement professeurs_qualifies vols</t>
  </si>
  <si>
    <t>subventions materiaux_rehab</t>
  </si>
  <si>
    <t>materiaux_rehab equipements personnels rehabilitations</t>
  </si>
  <si>
    <t>2020-11-11T12:56:53</t>
  </si>
  <si>
    <t>71986b6d-f269-4013-896d-d89e53f982ee</t>
  </si>
  <si>
    <t>2020-10-13T11:48:23.197+01</t>
  </si>
  <si>
    <t>2020-10-13T12:01:09.880+01</t>
  </si>
  <si>
    <t>materiel finance_maintenance</t>
  </si>
  <si>
    <t>dotation_equipements autre</t>
  </si>
  <si>
    <t>Clôture autour de point d'eau et pancarte.</t>
  </si>
  <si>
    <t>2020-11-11T12:57:03</t>
  </si>
  <si>
    <t>b482a4ce-b8b5-468b-b1f9-59eeccbefcaf</t>
  </si>
  <si>
    <t>2020-10-09T11:52:02.248+01</t>
  </si>
  <si>
    <t>2020-10-09T12:08:15.710+01</t>
  </si>
  <si>
    <t>2020-11-11T13:31:04</t>
  </si>
  <si>
    <t>f707fa6a-f00e-455d-8bee-ab47a922f123</t>
  </si>
  <si>
    <t>2020-10-09T14:36:00.153+01</t>
  </si>
  <si>
    <t>2020-10-09T15:49:11.720+01</t>
  </si>
  <si>
    <t>consult_curatives mas pediatrie</t>
  </si>
  <si>
    <t>degradation_ressources_fin</t>
  </si>
  <si>
    <t>ressources_fin decentralisation_salaires personnels</t>
  </si>
  <si>
    <t>des médicaments comme coartem</t>
  </si>
  <si>
    <t>medicaments</t>
  </si>
  <si>
    <t>propagation</t>
  </si>
  <si>
    <t>2020-11-11T13:31:22</t>
  </si>
  <si>
    <t>351a08ef-3b55-46d9-8de2-92d5ee166aa9</t>
  </si>
  <si>
    <t>2020-10-13T11:41:41.696+01</t>
  </si>
  <si>
    <t>2020-10-13T11:52:10.978+01</t>
  </si>
  <si>
    <t>EGLISE ELIM</t>
  </si>
  <si>
    <t>achat_materiel activites_recreatives</t>
  </si>
  <si>
    <t>ressources_fin sur_utilisation</t>
  </si>
  <si>
    <t>materiel_didactique formations_mp</t>
  </si>
  <si>
    <t>2020-11-11T13:31:43</t>
  </si>
  <si>
    <t xml:space="preserve">Centre de santé urbain de Mobaye </t>
  </si>
  <si>
    <t xml:space="preserve">Ecole privée Emmanuel Elim - Mobaye Centre </t>
  </si>
  <si>
    <t xml:space="preserve">=&gt; dons de médicaments </t>
  </si>
  <si>
    <t>XAF / mois</t>
  </si>
  <si>
    <t>=&gt; taxe payée aux transporteurs</t>
  </si>
  <si>
    <t>847ba30e-95e8-4fb6-9e52-e581b2e032d4</t>
  </si>
  <si>
    <t>2020-10-19T10:00:33.232+01:00</t>
  </si>
  <si>
    <t>2020-10-21T11:20:04.569+01:00</t>
  </si>
  <si>
    <t>zangba</t>
  </si>
  <si>
    <t>mercredi</t>
  </si>
  <si>
    <t>insecurite taxes</t>
  </si>
  <si>
    <t>rehabilitation_marches formation</t>
  </si>
  <si>
    <t>2020-11-11T12:52:14</t>
  </si>
  <si>
    <t>e462a4b0-16ff-48af-afca-75f43af5122c</t>
  </si>
  <si>
    <t>2020-10-19T11:36:33.072+01:00</t>
  </si>
  <si>
    <t>2020-10-23T12:02:04.585+01:00</t>
  </si>
  <si>
    <t>2020-10-23</t>
  </si>
  <si>
    <t>maternite pediatrie mas violences_sexuelles</t>
  </si>
  <si>
    <t>rougeole autre</t>
  </si>
  <si>
    <t>fortement_sous_utilise</t>
  </si>
  <si>
    <t>ressources_fin medicaments_nb personnels</t>
  </si>
  <si>
    <t>medicaments dotation_materiaux autre</t>
  </si>
  <si>
    <t>Construction d'autres bâtiments</t>
  </si>
  <si>
    <t>lavage_mains</t>
  </si>
  <si>
    <t>2020-11-11T12:52:18</t>
  </si>
  <si>
    <t>758541ac-879d-4e9a-933b-1b886b0c6f94</t>
  </si>
  <si>
    <t>2020-10-19T12:32:43.737+01:00</t>
  </si>
  <si>
    <t>2020-10-21T12:44:04.515+01:00</t>
  </si>
  <si>
    <t>2020-11-11T12:52:21</t>
  </si>
  <si>
    <t>08dc6fd5-2d89-4b91-9c4f-78805a2f3912</t>
  </si>
  <si>
    <t>2020-10-19T14:28:31.589+01:00</t>
  </si>
  <si>
    <t>2020-10-21T14:40:04.188+01:00</t>
  </si>
  <si>
    <t>dons_argent autre</t>
  </si>
  <si>
    <t>leaders_religieux mairie chef_village</t>
  </si>
  <si>
    <t>2020-11-11T12:52:24</t>
  </si>
  <si>
    <t>53dadcde-3f04-4632-a45f-0f54114fd4ef</t>
  </si>
  <si>
    <t>2020-10-19T14:45:09.098+01:00</t>
  </si>
  <si>
    <t>2020-10-21T15:18:50.124+01:00</t>
  </si>
  <si>
    <t>non_non_fonctionnelles</t>
  </si>
  <si>
    <t>mas maternite accouchement</t>
  </si>
  <si>
    <t>polio rougeole autre</t>
  </si>
  <si>
    <t>renforcement_humanitaire nouveaux_soins</t>
  </si>
  <si>
    <t>equipements medicaments_nb decentralisation_salaires</t>
  </si>
  <si>
    <t>formations_gestion medicaments</t>
  </si>
  <si>
    <t>transmission</t>
  </si>
  <si>
    <t>lavage_mains masque distanciations</t>
  </si>
  <si>
    <t>2020-11-11T12:52:27</t>
  </si>
  <si>
    <t>e438a8b9-5673-4b03-929e-884409e51b79</t>
  </si>
  <si>
    <t>2020-10-21T12:10:09.487+01:00</t>
  </si>
  <si>
    <t>2020-10-21T12:17:16.303+01:00</t>
  </si>
  <si>
    <t>2020-11-11T12:52:30</t>
  </si>
  <si>
    <t>bfce2c3f-598f-420c-b06f-1b886936cc5a</t>
  </si>
  <si>
    <t>2020-10-21T12:23:04.740+01:00</t>
  </si>
  <si>
    <t>2020-10-23T12:30:05.412+01:00</t>
  </si>
  <si>
    <t>2020-11-11T12:52:32</t>
  </si>
  <si>
    <t>7d83eecb-1fbd-4221-b710-90d1bbc2aa3b</t>
  </si>
  <si>
    <t>2020-10-21T12:33:36.901+01:00</t>
  </si>
  <si>
    <t>2020-10-23T12:57:07.529+01:00</t>
  </si>
  <si>
    <t>nfi alimentaires medicaments</t>
  </si>
  <si>
    <t>samedi mardi</t>
  </si>
  <si>
    <t>diminution_acheteurs baisse_prix insecurite</t>
  </si>
  <si>
    <t>insecurite diminution_population</t>
  </si>
  <si>
    <t>mairie gvt</t>
  </si>
  <si>
    <t>subventions formation rehabilitation_marches</t>
  </si>
  <si>
    <t>2020-11-11T12:52:36</t>
  </si>
  <si>
    <t>9a0fcd7b-ea20-4887-af02-9d30ad399db8</t>
  </si>
  <si>
    <t>2020-10-23T11:48:40.505+01:00</t>
  </si>
  <si>
    <t>2020-10-23T12:28:03.854+01:00</t>
  </si>
  <si>
    <t>deplces sensibilisation</t>
  </si>
  <si>
    <t>dons_materiaux dons_argent</t>
  </si>
  <si>
    <t>professeurs_qualifies equipement materiel</t>
  </si>
  <si>
    <t>equipements personnels materiel_didactique formations_mp</t>
  </si>
  <si>
    <t>2020-11-11T12:52:39</t>
  </si>
  <si>
    <t>887379fd-fbd2-4e7c-88a5-b9a6f6e865a8</t>
  </si>
  <si>
    <t>2020-10-19T10:35:07.476+01</t>
  </si>
  <si>
    <t>2020-10-21T10:55:38.572+01</t>
  </si>
  <si>
    <t>École Wambe Croisement</t>
  </si>
  <si>
    <t>gvt autre</t>
  </si>
  <si>
    <t>Banque Mondiale</t>
  </si>
  <si>
    <t>subventions materiel_didactique</t>
  </si>
  <si>
    <t>subventions equipements constructions materiel_didactique formations_mp autre</t>
  </si>
  <si>
    <t>2020-11-11T12:55:37</t>
  </si>
  <si>
    <t>dc74d4f2-c3b1-4de3-a4ec-4663215f3fa9</t>
  </si>
  <si>
    <t>2020-10-21T11:41:57.667+01</t>
  </si>
  <si>
    <t>2020-10-23T11:52:10.383+01</t>
  </si>
  <si>
    <t>rehab_equipements construction</t>
  </si>
  <si>
    <t>2020-11-11T12:55:52</t>
  </si>
  <si>
    <t>537494e7-bc44-4fa0-9d02-8af1f1cc1480</t>
  </si>
  <si>
    <t>2020-10-21T13:10:52.455+01</t>
  </si>
  <si>
    <t>2020-10-23T12:25:06.338+01</t>
  </si>
  <si>
    <t>2020-11-11T12:56:02</t>
  </si>
  <si>
    <t>7e5c6f7c-1097-4d9b-bc67-df234e8aee75</t>
  </si>
  <si>
    <t>2020-10-19T11:25:10.855+01</t>
  </si>
  <si>
    <t>2020-10-21T14:23:49.648+01</t>
  </si>
  <si>
    <t>Panne de tuyau en plastique</t>
  </si>
  <si>
    <t>dotation_equipements rehab_equipements construction rehabilitation</t>
  </si>
  <si>
    <t>2020-11-11T12:57:12</t>
  </si>
  <si>
    <t>23308346-0083-402a-ae3e-f3e63091c984</t>
  </si>
  <si>
    <t>2020-10-19T12:30:42.799+01</t>
  </si>
  <si>
    <t>2020-10-21T11:30:07.294+01</t>
  </si>
  <si>
    <t>materiel pression finance_maintenance</t>
  </si>
  <si>
    <t>subventions dotation_equipements personnel_maintenance rehab_equipements construction</t>
  </si>
  <si>
    <t>2020-11-11T12:57:24</t>
  </si>
  <si>
    <t>e5a3851c-ad10-4af3-b21c-01eb1f13bf87</t>
  </si>
  <si>
    <t>2020-10-21T12:25:20.318+01</t>
  </si>
  <si>
    <t>2020-10-23T12:45:05.774+01</t>
  </si>
  <si>
    <t>École Martao</t>
  </si>
  <si>
    <t>aug_population deplces sensibilisation autre</t>
  </si>
  <si>
    <t>materiel equipement professeurs_qualifies autre</t>
  </si>
  <si>
    <t>mairie gvt ape</t>
  </si>
  <si>
    <t>equipements personnels constructions materiel_didactique</t>
  </si>
  <si>
    <t>2020-11-11T12:57:36</t>
  </si>
  <si>
    <t>d7567920-06d3-4034-8ec2-4a55a085cd65</t>
  </si>
  <si>
    <t>2020-10-19T10:17:09.826+01</t>
  </si>
  <si>
    <t>2020-10-21T10:27:04.218+01</t>
  </si>
  <si>
    <t>Contribution de la communauté</t>
  </si>
  <si>
    <t>mairie ong_Internationales</t>
  </si>
  <si>
    <t>dotation_materiaux dotation_equipements personnel_maintenance rehab_equipements construction</t>
  </si>
  <si>
    <t>2020-11-11T13:32:03</t>
  </si>
  <si>
    <t>7ebe0a06-d232-4f73-915d-c3e54f474181</t>
  </si>
  <si>
    <t>2020-10-19T14:59:09.497+01</t>
  </si>
  <si>
    <t>2020-10-21T15:18:06.699+01</t>
  </si>
  <si>
    <t>aug_population deplces sensibilisation</t>
  </si>
  <si>
    <t>Contribution des APE pour payer les maîtres parents</t>
  </si>
  <si>
    <t>ressources_fin materiel equipement professeurs_qualifies autre</t>
  </si>
  <si>
    <t>materiaux_rehab equipements personnels rehabilitations constructions materiel_didactique formations_mp autre</t>
  </si>
  <si>
    <t>2020-11-11T13:32:33</t>
  </si>
  <si>
    <t>4e95224d-f31b-4ff3-84a9-ea5423155dc6</t>
  </si>
  <si>
    <t>2020-10-23T12:01:42.699+01</t>
  </si>
  <si>
    <t>2020-10-23T12:21:36.389+01</t>
  </si>
  <si>
    <t>Marché Zangba Centre</t>
  </si>
  <si>
    <t>dimanche</t>
  </si>
  <si>
    <t>insecurite acces_localite pluies taxes appro diminution_acheteurs</t>
  </si>
  <si>
    <t>Congo RDC</t>
  </si>
  <si>
    <t>mairie leaders_communautaires chef_quartiers chef_village</t>
  </si>
  <si>
    <t>manque_infra mauvaise_routes insecurite_axes insecurite_localite taxation_ga forte_demande indispo_produits faible_pouvoir_achat</t>
  </si>
  <si>
    <t>subventions rehabilitation_routes rehabilitation_ponts formation autre</t>
  </si>
  <si>
    <t>2020-11-11T13:32:55</t>
  </si>
  <si>
    <t xml:space="preserve">=&gt; panne d'équipement </t>
  </si>
  <si>
    <t>École sous-préfectorale</t>
  </si>
  <si>
    <t>École Moungago</t>
  </si>
  <si>
    <t xml:space="preserve">Banque Mondiale </t>
  </si>
  <si>
    <t>Distance de certaines écoles</t>
  </si>
  <si>
    <t xml:space="preserve"> Pas d'enseignants titulaires</t>
  </si>
  <si>
    <t>L'un des maître-parents est décédé</t>
  </si>
  <si>
    <t>Pas de bâtiment, pas de point d'eau, pas de latrine</t>
  </si>
  <si>
    <t>Prise en charge des maître-parents</t>
  </si>
  <si>
    <t>Loyer administratif</t>
  </si>
  <si>
    <t xml:space="preserve">=&gt; prise en charge des maître-parents et paiement du loyer </t>
  </si>
  <si>
    <t>Centre de santé public de Zangba</t>
  </si>
  <si>
    <t xml:space="preserve">Zangba Catholique </t>
  </si>
  <si>
    <t xml:space="preserve">Manque de moyens financiers </t>
  </si>
  <si>
    <t xml:space="preserve">Médicaments </t>
  </si>
  <si>
    <t>mairie leaders_religieux gvt</t>
  </si>
  <si>
    <t>COOPI a amené des médicaments (ACT et sérum glucose) et AHA a fait la prise en charge des malnutritions</t>
  </si>
  <si>
    <t>Mboma</t>
  </si>
  <si>
    <t>Ndjamdjire</t>
  </si>
  <si>
    <t>Jusqu'en RDC</t>
  </si>
  <si>
    <t xml:space="preserve">annuel </t>
  </si>
  <si>
    <t>XAF / an</t>
  </si>
  <si>
    <t xml:space="preserve">public </t>
  </si>
  <si>
    <t xml:space="preserve">=&gt; les informateurs clés manquent d'information sur ce sujet - 1 informateur mentionne 300 ménages </t>
  </si>
  <si>
    <t>Eau amenée par camion</t>
  </si>
  <si>
    <t>Plusieurs réponses possibles</t>
  </si>
  <si>
    <r>
      <t xml:space="preserve">Proportion 
</t>
    </r>
    <r>
      <rPr>
        <i/>
        <sz val="9"/>
        <color theme="1"/>
        <rFont val="Arial Narrow"/>
        <family val="2"/>
      </rPr>
      <t>(tous les points d'eau)</t>
    </r>
  </si>
  <si>
    <r>
      <t xml:space="preserve">Proportion 
</t>
    </r>
    <r>
      <rPr>
        <i/>
        <sz val="9"/>
        <color theme="1"/>
        <rFont val="Arial Narrow"/>
        <family val="2"/>
      </rPr>
      <t xml:space="preserve">(des points d'eau endommagés) </t>
    </r>
  </si>
  <si>
    <r>
      <t xml:space="preserve">Proportion 
</t>
    </r>
    <r>
      <rPr>
        <i/>
        <sz val="9"/>
        <color theme="1"/>
        <rFont val="Arial Narrow"/>
        <family val="2"/>
      </rPr>
      <t xml:space="preserve">(des points d'eau non fonctionnels) </t>
    </r>
  </si>
  <si>
    <t xml:space="preserve">TOTAL 
points d'eau </t>
  </si>
  <si>
    <r>
      <t xml:space="preserve">Proportion 
</t>
    </r>
    <r>
      <rPr>
        <i/>
        <sz val="9"/>
        <color theme="1"/>
        <rFont val="Arial Narrow"/>
        <family val="2"/>
      </rPr>
      <t>(des points d'eau dont la fréquentation a changé)</t>
    </r>
  </si>
  <si>
    <r>
      <t xml:space="preserve">Proportion 
</t>
    </r>
    <r>
      <rPr>
        <i/>
        <sz val="9"/>
        <color theme="1"/>
        <rFont val="Arial Narrow"/>
        <family val="2"/>
      </rPr>
      <t>(des points d'eau dont la fréquentation a augmenté)</t>
    </r>
  </si>
  <si>
    <r>
      <t xml:space="preserve">Proportion 
</t>
    </r>
    <r>
      <rPr>
        <i/>
        <sz val="9"/>
        <color theme="1"/>
        <rFont val="Arial Narrow"/>
        <family val="2"/>
      </rPr>
      <t>(des points d'eau dont la fréquentation a diminué)</t>
    </r>
  </si>
  <si>
    <r>
      <t>Proportion</t>
    </r>
    <r>
      <rPr>
        <i/>
        <sz val="9"/>
        <color theme="1"/>
        <rFont val="Arial Narrow"/>
        <family val="2"/>
      </rPr>
      <t xml:space="preserve"> 
(des points d'eau payants) </t>
    </r>
  </si>
  <si>
    <r>
      <t xml:space="preserve">Proportion 
</t>
    </r>
    <r>
      <rPr>
        <i/>
        <sz val="9"/>
        <color theme="1"/>
        <rFont val="Arial Narrow"/>
        <family val="2"/>
      </rPr>
      <t xml:space="preserve">(des points d'eau ayant connu un changement de prix) </t>
    </r>
  </si>
  <si>
    <r>
      <t>Proportion</t>
    </r>
    <r>
      <rPr>
        <i/>
        <sz val="9"/>
        <color theme="1"/>
        <rFont val="Arial Narrow"/>
        <family val="2"/>
      </rPr>
      <t xml:space="preserve">
(des points d'eau ayant reçu une aide)</t>
    </r>
  </si>
  <si>
    <r>
      <t>Proportion</t>
    </r>
    <r>
      <rPr>
        <i/>
        <sz val="9"/>
        <color theme="1"/>
        <rFont val="Arial Narrow"/>
        <family val="2"/>
      </rPr>
      <t xml:space="preserve">
(des points d'eau dont l'aide n'était pas satisfaisante)</t>
    </r>
  </si>
  <si>
    <r>
      <t xml:space="preserve">Proportion 
</t>
    </r>
    <r>
      <rPr>
        <i/>
        <sz val="9"/>
        <color theme="1"/>
        <rFont val="Arial Narrow"/>
        <family val="2"/>
      </rPr>
      <t>(toutes les latrines)</t>
    </r>
  </si>
  <si>
    <r>
      <t xml:space="preserve">Proportion 
</t>
    </r>
    <r>
      <rPr>
        <i/>
        <sz val="9"/>
        <color theme="1"/>
        <rFont val="Arial Narrow"/>
        <family val="2"/>
      </rPr>
      <t>(des latrines endommagées)</t>
    </r>
  </si>
  <si>
    <t xml:space="preserve">Ne sait pas </t>
  </si>
  <si>
    <r>
      <t xml:space="preserve">Proportion
</t>
    </r>
    <r>
      <rPr>
        <i/>
        <sz val="9"/>
        <color theme="1"/>
        <rFont val="Arial Narrow"/>
        <family val="2"/>
      </rPr>
      <t>(des latrines non fonctionnelles)</t>
    </r>
  </si>
  <si>
    <t>=&gt; les latrines sont toutes accessibles la nuit</t>
  </si>
  <si>
    <r>
      <t xml:space="preserve">Proportion 
</t>
    </r>
    <r>
      <rPr>
        <i/>
        <sz val="8"/>
        <color theme="1"/>
        <rFont val="Arial Narrow"/>
        <family val="2"/>
      </rPr>
      <t>(des latrines non accesibles la nuit)</t>
    </r>
  </si>
  <si>
    <r>
      <t xml:space="preserve">Proportion 
</t>
    </r>
    <r>
      <rPr>
        <i/>
        <sz val="9"/>
        <color theme="1"/>
        <rFont val="Arial Narrow"/>
        <family val="2"/>
      </rPr>
      <t>(des latrines dont la fréquentation a changé)</t>
    </r>
  </si>
  <si>
    <r>
      <t xml:space="preserve">Proportion 
</t>
    </r>
    <r>
      <rPr>
        <i/>
        <sz val="9"/>
        <color theme="1"/>
        <rFont val="Arial Narrow"/>
        <family val="2"/>
      </rPr>
      <t>(des latrines dont la fréquentation a augmenté)</t>
    </r>
  </si>
  <si>
    <r>
      <t xml:space="preserve">Proportion 
</t>
    </r>
    <r>
      <rPr>
        <i/>
        <sz val="9"/>
        <color theme="1"/>
        <rFont val="Arial Narrow"/>
        <family val="2"/>
      </rPr>
      <t>(des latrines dont la fréquentation a diminué)</t>
    </r>
  </si>
  <si>
    <t xml:space="preserve">=&gt; toutes les latrines sont gratuites </t>
  </si>
  <si>
    <r>
      <t xml:space="preserve">Proportion 
</t>
    </r>
    <r>
      <rPr>
        <i/>
        <sz val="9"/>
        <color theme="1"/>
        <rFont val="Arial Narrow"/>
        <family val="2"/>
      </rPr>
      <t>(des latrines payantes)</t>
    </r>
  </si>
  <si>
    <r>
      <t xml:space="preserve">Proportion 
</t>
    </r>
    <r>
      <rPr>
        <i/>
        <sz val="9"/>
        <color theme="1"/>
        <rFont val="Arial Narrow"/>
        <family val="2"/>
      </rPr>
      <t>(des latrines dont le prix a augmenté)</t>
    </r>
  </si>
  <si>
    <r>
      <t xml:space="preserve">Proportion 
</t>
    </r>
    <r>
      <rPr>
        <i/>
        <sz val="9"/>
        <color theme="1"/>
        <rFont val="Arial Narrow"/>
        <family val="2"/>
      </rPr>
      <t>(des latrines dont le prix a diminué)</t>
    </r>
  </si>
  <si>
    <r>
      <t xml:space="preserve">Proportion 
</t>
    </r>
    <r>
      <rPr>
        <i/>
        <sz val="9"/>
        <color theme="1"/>
        <rFont val="Arial Narrow"/>
        <family val="2"/>
      </rPr>
      <t>(des latrines dont le prix a changé)</t>
    </r>
  </si>
  <si>
    <r>
      <t xml:space="preserve">Proportion 
</t>
    </r>
    <r>
      <rPr>
        <i/>
        <sz val="9"/>
        <color theme="1"/>
        <rFont val="Arial Narrow"/>
        <family val="2"/>
      </rPr>
      <t>(des latrines ayant reçu une aide)</t>
    </r>
  </si>
  <si>
    <r>
      <t>Proportion</t>
    </r>
    <r>
      <rPr>
        <i/>
        <sz val="9"/>
        <color theme="1"/>
        <rFont val="Arial Narrow"/>
        <family val="2"/>
      </rPr>
      <t xml:space="preserve">
(des latrines dont l'aide n'était pas satisfaisante)</t>
    </r>
  </si>
  <si>
    <r>
      <t xml:space="preserve">Proportion 
</t>
    </r>
    <r>
      <rPr>
        <i/>
        <sz val="9"/>
        <color theme="1"/>
        <rFont val="Arial Narrow"/>
        <family val="2"/>
      </rPr>
      <t>(toutes les écoles)</t>
    </r>
  </si>
  <si>
    <t xml:space="preserve">TOTAL 
toutes les écoles </t>
  </si>
  <si>
    <r>
      <t xml:space="preserve">Proportion 
</t>
    </r>
    <r>
      <rPr>
        <i/>
        <sz val="9"/>
        <color theme="1"/>
        <rFont val="Arial Narrow"/>
        <family val="2"/>
      </rPr>
      <t>(des écoles non fonctionnelles)</t>
    </r>
  </si>
  <si>
    <r>
      <t xml:space="preserve">Proportion 
</t>
    </r>
    <r>
      <rPr>
        <i/>
        <sz val="9"/>
        <color theme="1"/>
        <rFont val="Arial Narrow"/>
        <family val="2"/>
      </rPr>
      <t>(des écoles partiellement fonctionnelles)</t>
    </r>
  </si>
  <si>
    <t xml:space="preserve">=&gt; La Banque mondiale </t>
  </si>
  <si>
    <r>
      <t xml:space="preserve">Proportion 
</t>
    </r>
    <r>
      <rPr>
        <i/>
        <sz val="9"/>
        <color theme="1"/>
        <rFont val="Arial Narrow"/>
        <family val="2"/>
      </rPr>
      <t>(des écoles disposant de latrines)</t>
    </r>
  </si>
  <si>
    <r>
      <t xml:space="preserve">Proportion 
</t>
    </r>
    <r>
      <rPr>
        <i/>
        <sz val="9"/>
        <color theme="1"/>
        <rFont val="Arial Narrow"/>
        <family val="2"/>
      </rPr>
      <t>(des écoles disposant d'un accès à l'eau)</t>
    </r>
  </si>
  <si>
    <r>
      <t xml:space="preserve">Proportion 
</t>
    </r>
    <r>
      <rPr>
        <i/>
        <sz val="9"/>
        <color theme="1"/>
        <rFont val="Arial Narrow"/>
        <family val="2"/>
      </rPr>
      <t>(des écoles fonctionnelles)</t>
    </r>
  </si>
  <si>
    <r>
      <t xml:space="preserve">Proportion 
</t>
    </r>
    <r>
      <rPr>
        <i/>
        <sz val="9"/>
        <color theme="1"/>
        <rFont val="Arial Narrow"/>
        <family val="2"/>
      </rPr>
      <t>(des écoles dont les effectifs ont changé)</t>
    </r>
  </si>
  <si>
    <r>
      <t xml:space="preserve">Proportion 
</t>
    </r>
    <r>
      <rPr>
        <i/>
        <sz val="9"/>
        <color theme="1"/>
        <rFont val="Arial Narrow"/>
        <family val="2"/>
      </rPr>
      <t>(des écoles dont les effectifs ont augmenté)</t>
    </r>
  </si>
  <si>
    <r>
      <t xml:space="preserve">Proportion 
</t>
    </r>
    <r>
      <rPr>
        <i/>
        <sz val="9"/>
        <color theme="1"/>
        <rFont val="Arial Narrow"/>
        <family val="2"/>
      </rPr>
      <t>(des écoles dont les effectifs ont diminué)</t>
    </r>
  </si>
  <si>
    <r>
      <t xml:space="preserve">Proportion 
</t>
    </r>
    <r>
      <rPr>
        <i/>
        <sz val="9"/>
        <color theme="1"/>
        <rFont val="Arial Narrow"/>
        <family val="2"/>
      </rPr>
      <t xml:space="preserve">(des écoles fonctionnelles) </t>
    </r>
  </si>
  <si>
    <r>
      <t xml:space="preserve">Proportion 
</t>
    </r>
    <r>
      <rPr>
        <i/>
        <sz val="9"/>
        <color theme="1"/>
        <rFont val="Arial Narrow"/>
        <family val="2"/>
      </rPr>
      <t>(des écoles payantes)</t>
    </r>
  </si>
  <si>
    <r>
      <t xml:space="preserve">Proportion 
</t>
    </r>
    <r>
      <rPr>
        <i/>
        <sz val="9"/>
        <color theme="1"/>
        <rFont val="Arial Narrow"/>
        <family val="2"/>
      </rPr>
      <t>(des écoles ayant reçu une aide)</t>
    </r>
  </si>
  <si>
    <r>
      <t xml:space="preserve">Proportion 
</t>
    </r>
    <r>
      <rPr>
        <i/>
        <sz val="9"/>
        <color theme="1"/>
        <rFont val="Arial Narrow"/>
        <family val="2"/>
      </rPr>
      <t>(des écoles dont l'aide n'était pas satisfaisante)</t>
    </r>
  </si>
  <si>
    <r>
      <t xml:space="preserve">Proportion
</t>
    </r>
    <r>
      <rPr>
        <i/>
        <sz val="9"/>
        <color theme="1"/>
        <rFont val="Arial Narrow"/>
        <family val="2"/>
      </rPr>
      <t xml:space="preserve">(toutes les structures) </t>
    </r>
  </si>
  <si>
    <r>
      <t xml:space="preserve">Proportion
</t>
    </r>
    <r>
      <rPr>
        <i/>
        <sz val="9"/>
        <color theme="1"/>
        <rFont val="Arial Narrow"/>
        <family val="2"/>
      </rPr>
      <t>(des structures non fonctionnelles)</t>
    </r>
  </si>
  <si>
    <r>
      <t xml:space="preserve">Proportion
</t>
    </r>
    <r>
      <rPr>
        <i/>
        <sz val="9"/>
        <color theme="1"/>
        <rFont val="Arial Narrow"/>
        <family val="2"/>
      </rPr>
      <t xml:space="preserve">(des structures fonctionnelles) </t>
    </r>
  </si>
  <si>
    <t xml:space="preserve">Structures fonctionnelles ? </t>
  </si>
  <si>
    <t xml:space="preserve">TOTAL 
structures fonctionnelles </t>
  </si>
  <si>
    <t xml:space="preserve">=&gt; aucune structure non fonctionnelle répertoriée </t>
  </si>
  <si>
    <r>
      <t xml:space="preserve">Proportion
</t>
    </r>
    <r>
      <rPr>
        <i/>
        <sz val="9"/>
        <color theme="1"/>
        <rFont val="Arial Narrow"/>
        <family val="2"/>
      </rPr>
      <t>(des structures ayant subi des dommages matériels)</t>
    </r>
  </si>
  <si>
    <t xml:space="preserve">=&gt; Par le comité de gestion </t>
  </si>
  <si>
    <r>
      <t xml:space="preserve">Proportion
</t>
    </r>
    <r>
      <rPr>
        <i/>
        <sz val="9"/>
        <color theme="1"/>
        <rFont val="Arial Narrow"/>
        <family val="2"/>
      </rPr>
      <t>(des structures disposant de latrines)</t>
    </r>
  </si>
  <si>
    <r>
      <t xml:space="preserve">Proportion
</t>
    </r>
    <r>
      <rPr>
        <i/>
        <sz val="9"/>
        <color theme="1"/>
        <rFont val="Arial Narrow"/>
        <family val="2"/>
      </rPr>
      <t xml:space="preserve">(des structures disposant d'un accès à l'eau potable) </t>
    </r>
  </si>
  <si>
    <r>
      <t xml:space="preserve">Proportion
</t>
    </r>
    <r>
      <rPr>
        <i/>
        <sz val="9"/>
        <color theme="1"/>
        <rFont val="Arial Narrow"/>
        <family val="2"/>
      </rPr>
      <t xml:space="preserve">(des strutcures disposant d'un générateur) </t>
    </r>
  </si>
  <si>
    <t>Soins intensifs</t>
  </si>
  <si>
    <t xml:space="preserve">=&gt; Les consultations sont gratuites </t>
  </si>
  <si>
    <r>
      <t xml:space="preserve">Proportion
</t>
    </r>
    <r>
      <rPr>
        <i/>
        <sz val="9"/>
        <color theme="1"/>
        <rFont val="Arial Narrow"/>
        <family val="2"/>
      </rPr>
      <t xml:space="preserve">(des strutures fonctionnelles) </t>
    </r>
  </si>
  <si>
    <r>
      <t xml:space="preserve">Proportion
</t>
    </r>
    <r>
      <rPr>
        <i/>
        <sz val="9"/>
        <color theme="1"/>
        <rFont val="Arial Narrow"/>
        <family val="2"/>
      </rPr>
      <t>(des structures dont le prix des consultations a changé)</t>
    </r>
  </si>
  <si>
    <r>
      <t xml:space="preserve">Proportion
</t>
    </r>
    <r>
      <rPr>
        <i/>
        <sz val="9"/>
        <color theme="1"/>
        <rFont val="Arial Narrow"/>
        <family val="2"/>
      </rPr>
      <t>(des structures dont le prix des consultations a diminué)</t>
    </r>
  </si>
  <si>
    <r>
      <t xml:space="preserve">Proportion
</t>
    </r>
    <r>
      <rPr>
        <i/>
        <sz val="9"/>
        <color theme="1"/>
        <rFont val="Arial Narrow"/>
        <family val="2"/>
      </rPr>
      <t>(des structures dont le prix des consultations a augmenté)</t>
    </r>
  </si>
  <si>
    <t>=&gt; Fièvre jaune</t>
  </si>
  <si>
    <r>
      <t xml:space="preserve">Proportion 
</t>
    </r>
    <r>
      <rPr>
        <i/>
        <sz val="9"/>
        <color theme="1"/>
        <rFont val="Arial Narrow"/>
        <family val="2"/>
      </rPr>
      <t>(des structures dont le nombre de patient a changé)</t>
    </r>
  </si>
  <si>
    <r>
      <t xml:space="preserve">Proportion 
</t>
    </r>
    <r>
      <rPr>
        <i/>
        <sz val="9"/>
        <color theme="1"/>
        <rFont val="Arial Narrow"/>
        <family val="2"/>
      </rPr>
      <t>(des structures dont le nombre de patient a diminué)</t>
    </r>
  </si>
  <si>
    <r>
      <t xml:space="preserve">Proportion 
</t>
    </r>
    <r>
      <rPr>
        <i/>
        <sz val="9"/>
        <color theme="1"/>
        <rFont val="Arial Narrow"/>
        <family val="2"/>
      </rPr>
      <t>(des structures dont le nombre de patient a augmenté)</t>
    </r>
  </si>
  <si>
    <r>
      <t xml:space="preserve">Proportion
</t>
    </r>
    <r>
      <rPr>
        <i/>
        <sz val="9"/>
        <color theme="1"/>
        <rFont val="Arial Narrow"/>
        <family val="2"/>
      </rPr>
      <t xml:space="preserve">(toutes les strutures) </t>
    </r>
  </si>
  <si>
    <r>
      <t xml:space="preserve">Proportion 
</t>
    </r>
    <r>
      <rPr>
        <i/>
        <sz val="9"/>
        <color theme="1"/>
        <rFont val="Arial Narrow"/>
        <family val="2"/>
      </rPr>
      <t>(des structures ayant reçu une aide)</t>
    </r>
  </si>
  <si>
    <r>
      <t xml:space="preserve">Proportion 
</t>
    </r>
    <r>
      <rPr>
        <i/>
        <sz val="9"/>
        <color theme="1"/>
        <rFont val="Arial Narrow"/>
        <family val="2"/>
      </rPr>
      <t>(des structures ayant reçu une aide non satisfaisante)</t>
    </r>
  </si>
  <si>
    <t>=&gt; Construction d'une clôture</t>
  </si>
  <si>
    <r>
      <t xml:space="preserve">Proportion
</t>
    </r>
    <r>
      <rPr>
        <i/>
        <sz val="9"/>
        <color theme="1"/>
        <rFont val="Arial Narrow"/>
        <family val="2"/>
      </rPr>
      <t xml:space="preserve">(des strutures ayant reçu des informations) </t>
    </r>
  </si>
  <si>
    <r>
      <t xml:space="preserve">Proportion
</t>
    </r>
    <r>
      <rPr>
        <i/>
        <sz val="9"/>
        <color theme="1"/>
        <rFont val="Arial Narrow"/>
        <family val="2"/>
      </rPr>
      <t>(des structures ayant mené des campagnes de sensibilisation)</t>
    </r>
  </si>
  <si>
    <t xml:space="preserve">TOTAL 
Marchés fonctionnels </t>
  </si>
  <si>
    <r>
      <t xml:space="preserve">Proportion
</t>
    </r>
    <r>
      <rPr>
        <i/>
        <sz val="9"/>
        <color theme="1"/>
        <rFont val="Arial Narrow"/>
        <family val="2"/>
      </rPr>
      <t>(tous les marchés)</t>
    </r>
  </si>
  <si>
    <t xml:space="preserve">TOTAL tous les marchés : </t>
  </si>
  <si>
    <t xml:space="preserve">TOTAL toutes les structures de santé : </t>
  </si>
  <si>
    <r>
      <t xml:space="preserve">Proportion
</t>
    </r>
    <r>
      <rPr>
        <i/>
        <sz val="9"/>
        <color theme="1"/>
        <rFont val="Arial Narrow"/>
        <family val="2"/>
      </rPr>
      <t xml:space="preserve">(des marchés fonctionnels) </t>
    </r>
  </si>
  <si>
    <r>
      <t xml:space="preserve">Proportion
</t>
    </r>
    <r>
      <rPr>
        <i/>
        <sz val="9"/>
        <color theme="1"/>
        <rFont val="Arial Narrow"/>
        <family val="2"/>
      </rPr>
      <t>(des marchés dont le nb de commerçants a changé)</t>
    </r>
  </si>
  <si>
    <r>
      <t xml:space="preserve">Proportion
</t>
    </r>
    <r>
      <rPr>
        <i/>
        <sz val="9"/>
        <color theme="1"/>
        <rFont val="Arial Narrow"/>
        <family val="2"/>
      </rPr>
      <t>(des marchés dont le nb de commerçants a diminué)</t>
    </r>
  </si>
  <si>
    <r>
      <t xml:space="preserve">Proportion
</t>
    </r>
    <r>
      <rPr>
        <i/>
        <sz val="9"/>
        <color theme="1"/>
        <rFont val="Arial Narrow"/>
        <family val="2"/>
      </rPr>
      <t>(des marchés dont le nb de commerçants a augmenté)</t>
    </r>
  </si>
  <si>
    <r>
      <t xml:space="preserve">Pour les produits </t>
    </r>
    <r>
      <rPr>
        <b/>
        <i/>
        <sz val="12"/>
        <color theme="1"/>
        <rFont val="Arial Narrow"/>
        <family val="2"/>
      </rPr>
      <t xml:space="preserve">alimentaires </t>
    </r>
    <r>
      <rPr>
        <i/>
        <sz val="12"/>
        <color theme="1"/>
        <rFont val="Arial Narrow"/>
        <family val="2"/>
      </rPr>
      <t xml:space="preserve">: </t>
    </r>
  </si>
  <si>
    <r>
      <t xml:space="preserve">Pour les produits </t>
    </r>
    <r>
      <rPr>
        <b/>
        <i/>
        <sz val="12"/>
        <color theme="1"/>
        <rFont val="Arial Narrow"/>
        <family val="2"/>
      </rPr>
      <t>non alimentaires</t>
    </r>
  </si>
  <si>
    <r>
      <t xml:space="preserve">Proportion
</t>
    </r>
    <r>
      <rPr>
        <i/>
        <sz val="9"/>
        <color theme="1"/>
        <rFont val="Arial Narrow"/>
        <family val="2"/>
      </rPr>
      <t>(des marchés dont la fréquentation a changé)</t>
    </r>
  </si>
  <si>
    <r>
      <t xml:space="preserve">Proportion
</t>
    </r>
    <r>
      <rPr>
        <i/>
        <sz val="9"/>
        <color theme="1"/>
        <rFont val="Arial Narrow"/>
        <family val="2"/>
      </rPr>
      <t>(des marchés dont la fréquentation a diminué)</t>
    </r>
  </si>
  <si>
    <r>
      <t xml:space="preserve">Proportion
</t>
    </r>
    <r>
      <rPr>
        <i/>
        <sz val="9"/>
        <color theme="1"/>
        <rFont val="Arial Narrow"/>
        <family val="2"/>
      </rPr>
      <t>(des marchés dont la fréquentation a augmenté)</t>
    </r>
  </si>
  <si>
    <r>
      <t xml:space="preserve">Proportion 
</t>
    </r>
    <r>
      <rPr>
        <i/>
        <sz val="9"/>
        <color theme="1"/>
        <rFont val="Arial Narrow"/>
        <family val="2"/>
      </rPr>
      <t xml:space="preserve">(tous les points d'eau) </t>
    </r>
  </si>
  <si>
    <t xml:space="preserve">=&gt; aucune aide reçue </t>
  </si>
  <si>
    <t xml:space="preserve">=&gt; Absence de latrine </t>
  </si>
  <si>
    <t xml:space="preserve">XAF / semaine </t>
  </si>
  <si>
    <t xml:space="preserve">=&gt; Latrines non séparées par genre </t>
  </si>
  <si>
    <t xml:space="preserve">=&gt; Quotidiennement </t>
  </si>
  <si>
    <t xml:space="preserve">XAF/ trimestre </t>
  </si>
  <si>
    <t xml:space="preserve">Aucune attente </t>
  </si>
  <si>
    <t xml:space="preserve">=&gt; Les points d'eau sont tous gratuits </t>
  </si>
  <si>
    <t xml:space="preserve">Communautaire </t>
  </si>
  <si>
    <t>Communautaire</t>
  </si>
  <si>
    <t>=&gt; Les écoles sont gratuites</t>
  </si>
  <si>
    <t xml:space="preserve">=&gt; N/A </t>
  </si>
  <si>
    <t>XAF/ deux semaines</t>
  </si>
  <si>
    <t xml:space="preserve">(une seule école privée) </t>
  </si>
  <si>
    <t xml:space="preserve">=&gt; Insuffisance d'eau et manque de carburant </t>
  </si>
  <si>
    <t xml:space="preserve">=&gt; Clôture des points d'eau et dotation de carburant </t>
  </si>
  <si>
    <t xml:space="preserve">=&gt; Clôture </t>
  </si>
  <si>
    <t xml:space="preserve">=&gt; Manque d'acheteurs </t>
  </si>
  <si>
    <t xml:space="preserve">=&gt; Distance des points d'eau </t>
  </si>
  <si>
    <t xml:space="preserve">=&gt; Prise en charge des maître-parents </t>
  </si>
  <si>
    <t xml:space="preserve">=&gt; Retour de la population dans la ville
=&gt; Arrivée du médecin chef </t>
  </si>
  <si>
    <t xml:space="preserve">=&gt; Le fonds SENI </t>
  </si>
  <si>
    <t xml:space="preserve">Croix rouge Centrafricaine </t>
  </si>
  <si>
    <t xml:space="preserve">=&gt; Clôture autour du point d'eau </t>
  </si>
  <si>
    <t xml:space="preserve">Agence humanitaire africaine </t>
  </si>
  <si>
    <t>=&gt; contribution de la communauté (manque de précision)</t>
  </si>
  <si>
    <t xml:space="preserve">dons_argent </t>
  </si>
  <si>
    <t xml:space="preserve">Vaccin antitétanique </t>
  </si>
  <si>
    <t xml:space="preserve">=&gt; Vaccin antitétanique </t>
  </si>
  <si>
    <t>AHA ET COOPI</t>
  </si>
  <si>
    <t xml:space="preserve">ONG internationales </t>
  </si>
  <si>
    <t xml:space="preserve">=&gt; Don de médicaments et prise en charge de la malnutrition </t>
  </si>
  <si>
    <t>=&gt; Construction d'autres bâtiments</t>
  </si>
  <si>
    <t xml:space="preserve">=&gt; Distance des autres écoles </t>
  </si>
  <si>
    <t>=&gt; manque d'infrastructure</t>
  </si>
  <si>
    <t>=&gt; Prise en charge des maître-parents</t>
  </si>
  <si>
    <t>Contexte et méthodologie</t>
  </si>
  <si>
    <t>Objets</t>
  </si>
  <si>
    <t>Description</t>
  </si>
  <si>
    <t>Période de la collecte des données primaires</t>
  </si>
  <si>
    <t>Localités concernées par la collecte</t>
  </si>
  <si>
    <t xml:space="preserve">Nombre d'enquêtes effectuées (tous services confondus) </t>
  </si>
  <si>
    <t xml:space="preserve">Type d'infrastructures référencées </t>
  </si>
  <si>
    <r>
      <t xml:space="preserve">Infrastructures à </t>
    </r>
    <r>
      <rPr>
        <b/>
        <sz val="10"/>
        <color theme="8" tint="-0.249977111117893"/>
        <rFont val="Arial Narrow"/>
        <family val="2"/>
      </rPr>
      <t>usage communautaire,</t>
    </r>
    <r>
      <rPr>
        <sz val="10"/>
        <color theme="8" tint="-0.249977111117893"/>
        <rFont val="Arial Narrow"/>
        <family val="2"/>
      </rPr>
      <t xml:space="preserve"> dans les secteurs suivants : 
- Eau, hygiène et assainissement : points d'eau et latrines communautaires ; 
- Education  : écoles publiques, privées et religieuses + centres d'alphabétisation + centres de formation professionnelle ; 
- Santé : postes de santé + tradipraticiens ; 
- Marchés locaux : tout type de biens. </t>
    </r>
  </si>
  <si>
    <t xml:space="preserve">Détail des onglets </t>
  </si>
  <si>
    <t xml:space="preserve">Lien vers la méthodologie AGORA détaillée </t>
  </si>
  <si>
    <t xml:space="preserve">https://www.impact-initiatives.org/what-we-do/publications/?pcountry=central-african-republic&amp;dates=Date&amp;ptype=&amp;initiative=agora  </t>
  </si>
  <si>
    <t>Contacts</t>
  </si>
  <si>
    <r>
      <rPr>
        <sz val="10"/>
        <color theme="1"/>
        <rFont val="Arial Narrow"/>
        <family val="2"/>
      </rPr>
      <t xml:space="preserve">Amélie Salmon </t>
    </r>
    <r>
      <rPr>
        <u/>
        <sz val="10"/>
        <color rgb="FF0000FF"/>
        <rFont val="Arial Narrow"/>
        <family val="2"/>
      </rPr>
      <t>(amelie.salmon@reach-initiatives.org)</t>
    </r>
    <r>
      <rPr>
        <sz val="10"/>
        <color theme="1"/>
        <rFont val="Arial Narrow"/>
        <family val="2"/>
      </rPr>
      <t xml:space="preserve"> et Samuel Carcanague (</t>
    </r>
    <r>
      <rPr>
        <u/>
        <sz val="10"/>
        <color rgb="FF0000FF"/>
        <rFont val="Arial Narrow"/>
        <family val="2"/>
      </rPr>
      <t>samuel.carcanague@impact-initiatives.org)</t>
    </r>
  </si>
  <si>
    <t>La phase de collecte de données s'est déroulée entre septembre et novembre 2020</t>
  </si>
  <si>
    <r>
      <t xml:space="preserve">AGORA RCA </t>
    </r>
    <r>
      <rPr>
        <b/>
        <sz val="11"/>
        <color rgb="FF000000"/>
        <rFont val="Calibri"/>
        <family val="2"/>
      </rPr>
      <t>|</t>
    </r>
    <r>
      <rPr>
        <b/>
        <sz val="11"/>
        <color rgb="FF000000"/>
        <rFont val="Arial Narrow"/>
        <family val="2"/>
      </rPr>
      <t>Projet RELSUDE | Collecte BASSE-KOTTO entre septembre et novembre 2020</t>
    </r>
  </si>
  <si>
    <t>Alindao, Mingala, Kembe, Satema, Mobaye et Zangba.</t>
  </si>
  <si>
    <t xml:space="preserve">Alindao : 64
Mingala : 17
Kembe : 20
Satema : 20 
Mobaye : 16
Zangba : 18
Chaque ligne correspond à 1 enquête menée avec 1 informateur clé. </t>
  </si>
  <si>
    <r>
      <t xml:space="preserve">La base de données comporte les pages suivantes : 
</t>
    </r>
    <r>
      <rPr>
        <b/>
        <sz val="10"/>
        <color theme="8" tint="-0.249977111117893"/>
        <rFont val="Arial Narrow"/>
        <family val="2"/>
      </rPr>
      <t xml:space="preserve">1. Un onglet "CleaningLog" </t>
    </r>
    <r>
      <rPr>
        <sz val="10"/>
        <color theme="8" tint="-0.249977111117893"/>
        <rFont val="Arial Narrow"/>
        <family val="2"/>
      </rPr>
      <t xml:space="preserve">
Cette page répertorie toutes les modifications qui ont été apportées aux données brutes.
Le nettoyage de données, conforme aux standars IMPACT, a principalement consisté en : 
                    - l'anonymisation des données ; 
                    - la suppression des valeurs abérrantes pour les questions quantitatives ; 
                    - la vérification de la pertinence des mentions "autre" ; 
                    - la vérification de la cohérence des données (caractéristiques renseignées selon le type d'infrastructure. 
</t>
    </r>
    <r>
      <rPr>
        <b/>
        <sz val="10"/>
        <color theme="8" tint="-0.249977111117893"/>
        <rFont val="Arial Narrow"/>
        <family val="2"/>
      </rPr>
      <t xml:space="preserve">2. Les données nettoyées pour chaque localité </t>
    </r>
    <r>
      <rPr>
        <sz val="10"/>
        <color theme="8" tint="-0.249977111117893"/>
        <rFont val="Arial Narrow"/>
        <family val="2"/>
      </rPr>
      <t xml:space="preserve">
Chaque ville dispose d'un code couleur. Le premier onglet d'une même couleur correspond aux données nettoyées mais non traitées. 
Cette page peut être utilisée pour faire des analyses complémentaires, en utilisant les filtres appliqués aux différentes colonnes. 
</t>
    </r>
    <r>
      <rPr>
        <b/>
        <sz val="10"/>
        <color theme="8" tint="-0.249977111117893"/>
        <rFont val="Arial Narrow"/>
        <family val="2"/>
      </rPr>
      <t>3. L'outil d'analayse développé pour chaque secteur</t>
    </r>
    <r>
      <rPr>
        <sz val="10"/>
        <color theme="8" tint="-0.249977111117893"/>
        <rFont val="Arial Narrow"/>
        <family val="2"/>
      </rPr>
      <t xml:space="preserve">
Pour chaque ville (chaque couleur), une analyse sectorielle est effectuée et déclinée sur plusieurs onglets. Cette analyse a été menée uniquement pour les secteurs pour lesquels plus de deux infrastructures communautaires avaient été référencées, afin de pouvoir dégager des proportions intéressantes à analyser.  
L'analyse reprend les principales questions posées dans le questionnaire et met en lumière des tendances ou des proportions afin de pouvoir quantifier le niveau de fonctionnalité des infrastructures communautaires. Cette analyse quantitative sera mise en perpective avec les données qualitatives collectées avec les autres outils AGORA. Elle permet aussi de reccueillir le point de vue des gestionnaires de services sur l'utilisation des infrastructures, et leurs besoins en renforcement de capacités pour la gestion de celles-ci.</t>
    </r>
  </si>
  <si>
    <t>950e7d3a-7293-4f83-836f-6ea1dea49a66</t>
  </si>
  <si>
    <t xml:space="preserve">Ecole sous-préfectorale de Mobaye </t>
  </si>
  <si>
    <t xml:space="preserve">Ecole Henriette Meneke </t>
  </si>
  <si>
    <t xml:space="preserve">donateur privé </t>
  </si>
  <si>
    <t>barrière</t>
  </si>
  <si>
    <t>XAF/ barrière rencontrée</t>
  </si>
  <si>
    <t xml:space="preserve">(Certaines fonctions ne sont pas listées ci-dessus, ce qui explique la différence entre le nombre total de travailleur et le détail pour les fonctions clés) </t>
  </si>
  <si>
    <t>Radiologie, laboratoire</t>
  </si>
  <si>
    <t xml:space="preserve">=&gt; "Prise en charge" - manque de précision </t>
  </si>
  <si>
    <t xml:space="preserve">=&gt; Radiologie, laboratoire </t>
  </si>
  <si>
    <t xml:space="preserve">=&gt; manque de moyens des familles  - manque de précision </t>
  </si>
  <si>
    <t xml:space="preserve">=&gt; Capacités des enseignants - manque de précision </t>
  </si>
  <si>
    <t>Dans le cadre du projet RELSUDE, AGORA est chargé de réaliser un plan de relèvement local (PRL) pour chacune des 21 localités identifiées du Sud-Est de la Centrafrique. Ces PRL sont l’aboutissement d’une évaluation territoriale et multisectorielle des besoins. Pour réaliser cette évaluation 8 outils de diagnostic sont développés. Parmi ces 8 outils, figure une enquête auprès des gestionnaires de services réalisée sur l'outil KOBO dont les données sont présentées dans ce document. L'objectif de cette enquête est de géolocaliser les différentes infrastructures communautaires (eau, hygiène et assainissement, santé, éducation, marchés locaux) et d'en évaluer le niveau de fonctionnalité. Les éventuels besoins en renforcement de capacités des gestionnaires de services sont également recensés. 
Ces entretiens dirigés ont été réalisés avec des informateurs clefs par les enquêteurs AGORA. L’échantillonnage s'est voulu exhaustif et a cibler entre 20 et 40 informateurs clefs parmi les principaux fournisseurs de services de base dans chaque localité. Les informateurs clefs rencontrés sont des personnes ressources disposant d’informations sectorielles, tels que les gestionnaires de points d’eau communautaires ou publics, les représentants d’éventuels comités de gestion d’infrastructures communautaires, des directeurs d’établissements sanitaires, scolaires et de formation professionnelle, des gestionnaires de marchés ou délégués des commerçants, etc. L’identification de ces personnes a été affinée grâce aux entretiens avec les autorités locales et à l’exercice de cartographie participative.
Pour le détail de la méthodologie AGORA, dans sa totalité, veuillez consulter les Termes de Références disponibles sur le site internet d'IMPACT (lien ci-dessous).</t>
  </si>
  <si>
    <t>Question</t>
  </si>
  <si>
    <t>uuidor id unique</t>
  </si>
  <si>
    <t>Valeur ancienne</t>
  </si>
  <si>
    <t>Nouvelle valeur (si existante)</t>
  </si>
  <si>
    <t>Raison (ex: erreur de saisie, pas de correction nécessaire etc.)</t>
  </si>
  <si>
    <t>Modifiée dans la base de données nettoyée?</t>
  </si>
  <si>
    <t>ALINDAO</t>
  </si>
  <si>
    <t>Supprimé</t>
  </si>
  <si>
    <t>Outlier</t>
  </si>
  <si>
    <t>propietaire</t>
  </si>
  <si>
    <t>Erreur de saisie</t>
  </si>
  <si>
    <t>Le point est endommagé</t>
  </si>
  <si>
    <t xml:space="preserve">Question mal comprise </t>
  </si>
  <si>
    <t>La communauté</t>
  </si>
  <si>
    <t>Depuis l or le puits ne tarissent pas</t>
  </si>
  <si>
    <t>Réparation par ONG Acf</t>
  </si>
  <si>
    <t>Réparation par ONG acf</t>
  </si>
  <si>
    <t>En cas de panne c'est Acf</t>
  </si>
  <si>
    <t>Réparer l'ONG ACF</t>
  </si>
  <si>
    <t>Pas de financement</t>
  </si>
  <si>
    <t>Pas de. Moyen</t>
  </si>
  <si>
    <t>Réparation par le propriétaire lui-même</t>
  </si>
  <si>
    <t>Le propriétaire lui-même paye les gens pour réparer</t>
  </si>
  <si>
    <t>La réparation de ce puits c'est par le propriétaire lui-même</t>
  </si>
  <si>
    <t>Réparé par les comités</t>
  </si>
  <si>
    <t>ong_Internationales autre</t>
  </si>
  <si>
    <t xml:space="preserve">autre </t>
  </si>
  <si>
    <t>Surveillez</t>
  </si>
  <si>
    <t>Pas de moyen</t>
  </si>
  <si>
    <t>Manque de moyens financiers</t>
  </si>
  <si>
    <t>Ong Acf</t>
  </si>
  <si>
    <t xml:space="preserve">
École AFaps</t>
  </si>
  <si>
    <t>Fonctionne bien</t>
  </si>
  <si>
    <t>Erreur dans le questionnaire</t>
  </si>
  <si>
    <t>L' école fonctionne bien</t>
  </si>
  <si>
    <t>Construite par l' ONG coopi</t>
  </si>
  <si>
    <t>Une école privée</t>
  </si>
  <si>
    <t>Ras</t>
  </si>
  <si>
    <t xml:space="preserve">ong_internationales autre </t>
  </si>
  <si>
    <t>coopi</t>
  </si>
  <si>
    <t>Par l' ONG coopi</t>
  </si>
  <si>
    <t>Michel kandel</t>
  </si>
  <si>
    <t xml:space="preserve">Supprimé </t>
  </si>
  <si>
    <t xml:space="preserve">Réponse hors sujet </t>
  </si>
  <si>
    <t xml:space="preserve">Covid 19 </t>
  </si>
  <si>
    <t>decouragement autre</t>
  </si>
  <si>
    <t>Répétition</t>
  </si>
  <si>
    <t>Ils se sont décourager cause d' argent</t>
  </si>
  <si>
    <t>Payement des maîtres et fournitures</t>
  </si>
  <si>
    <t>C est coopi qui occupe ça</t>
  </si>
  <si>
    <t xml:space="preserve">Précision </t>
  </si>
  <si>
    <t>Financer par coopi</t>
  </si>
  <si>
    <t>Ong coopi occupé sur ça</t>
  </si>
  <si>
    <t>Par les parents des eleves</t>
  </si>
  <si>
    <t>Coopi</t>
  </si>
  <si>
    <t>ONG coopi</t>
  </si>
  <si>
    <t xml:space="preserve">Possible outlier - vérification avec les équipes terrain </t>
  </si>
  <si>
    <t>Pas de taxe</t>
  </si>
  <si>
    <t>Pas de gestionnaire</t>
  </si>
  <si>
    <t xml:space="preserve">Manque de précision </t>
  </si>
  <si>
    <t xml:space="preserve">Erreur de saisie </t>
  </si>
  <si>
    <t>COGES</t>
  </si>
  <si>
    <t xml:space="preserve">Incohérence avec le détail - vérification avec les équipes terrain </t>
  </si>
  <si>
    <t xml:space="preserve">Incohérence avec le détail - note explicative ajoutée </t>
  </si>
  <si>
    <t xml:space="preserve">MINGALA </t>
  </si>
  <si>
    <t xml:space="preserve">destruction </t>
  </si>
  <si>
    <t>Parceque ce point d'eau ne t'aris pas pendant la saison sèche</t>
  </si>
  <si>
    <t>RAS</t>
  </si>
  <si>
    <t>Avant la crise aussi</t>
  </si>
  <si>
    <t>ONG NRC</t>
  </si>
  <si>
    <t>Radiologie, laboratoire et ambulance</t>
  </si>
  <si>
    <t xml:space="preserve">Incohérence avec d'autres informations - section Covid </t>
  </si>
  <si>
    <t>KEMBE</t>
  </si>
  <si>
    <t xml:space="preserve">Anonymisation </t>
  </si>
  <si>
    <t xml:space="preserve">Passant </t>
  </si>
  <si>
    <t xml:space="preserve">Habitant </t>
  </si>
  <si>
    <t>r</t>
  </si>
  <si>
    <t xml:space="preserve">supprimé </t>
  </si>
  <si>
    <t>Facilité de lecture</t>
  </si>
  <si>
    <t>u</t>
  </si>
  <si>
    <t>Xxx</t>
  </si>
  <si>
    <t>Dons de l'ONG enfance sans frontieres</t>
  </si>
  <si>
    <t>Kits scolaires parl'ong</t>
  </si>
  <si>
    <t xml:space="preserve">ressources_fin materiel equipement professeurs_qualifies insecurite vols sur_utilisation </t>
  </si>
  <si>
    <t>Un bâtiment en dur et prise en charge des orphelins</t>
  </si>
  <si>
    <t>chef de village</t>
  </si>
  <si>
    <t xml:space="preserve">chef_quartiers </t>
  </si>
  <si>
    <t>achat_groupe_grossistes</t>
  </si>
  <si>
    <t>Erreure de saisie</t>
  </si>
  <si>
    <t>aucune</t>
  </si>
  <si>
    <t>chef_quartiers autre</t>
  </si>
  <si>
    <t xml:space="preserve">Erreur d'uuid </t>
  </si>
  <si>
    <t>Raitoration</t>
  </si>
  <si>
    <t>Fonds SENI du gouvernement</t>
  </si>
  <si>
    <t xml:space="preserve">gouvernement autre </t>
  </si>
  <si>
    <t>SATEMA</t>
  </si>
  <si>
    <t xml:space="preserve">Incohérence avec le détail - Vérification avec l'équipe terrain </t>
  </si>
  <si>
    <t>MOBAYE</t>
  </si>
  <si>
    <t>ong_nationales autre</t>
  </si>
  <si>
    <t>CRCA</t>
  </si>
  <si>
    <t xml:space="preserve">Croix Rouge Centrafricaine </t>
  </si>
  <si>
    <t>HENRIETTE MENEKE</t>
  </si>
  <si>
    <t>Ecole Henriette Meneke</t>
  </si>
  <si>
    <t>Epm 1</t>
  </si>
  <si>
    <t>Tout les jours</t>
  </si>
  <si>
    <t>SEMIE DURABLE</t>
  </si>
  <si>
    <t xml:space="preserve">Donateur privé </t>
  </si>
  <si>
    <t xml:space="preserve">non </t>
  </si>
  <si>
    <t xml:space="preserve">Doute sur la fiabilité de l'information </t>
  </si>
  <si>
    <t>ZANGBA</t>
  </si>
  <si>
    <t>PUITS PRIVÉ</t>
  </si>
  <si>
    <t>AHA</t>
  </si>
  <si>
    <t xml:space="preserve">Construction d'autres forages dans la localité </t>
  </si>
  <si>
    <t>WAUCH</t>
  </si>
  <si>
    <t>REPARATION</t>
  </si>
  <si>
    <t>SALLE DE CLASSE DURABLE</t>
  </si>
  <si>
    <t>CHAQUE JOUR</t>
  </si>
  <si>
    <t>mairie autre</t>
  </si>
  <si>
    <t xml:space="preserve">Répétition </t>
  </si>
  <si>
    <t>Ex Maire Martao</t>
  </si>
  <si>
    <t>CARITAS</t>
  </si>
  <si>
    <t>salaires autre</t>
  </si>
  <si>
    <t>Achat des craies</t>
  </si>
  <si>
    <t>Fournitures scolaires et en charge des maîtres parents par une ONG.</t>
  </si>
  <si>
    <t>Médicaments et moyens financiers</t>
  </si>
  <si>
    <t>mairie leaders_religieux autre</t>
  </si>
  <si>
    <t>LE SOUS PREFET AUSSI</t>
  </si>
  <si>
    <t>LES CONGOLAIS AUSSI</t>
  </si>
  <si>
    <t xml:space="preserve">Jusqu'en RDC </t>
  </si>
  <si>
    <t xml:space="preserve">Reformulation </t>
  </si>
  <si>
    <t>IMPOT ET TAXE POUR LA MAIRIE</t>
  </si>
  <si>
    <t>PAR ANS</t>
  </si>
  <si>
    <t>vide</t>
  </si>
  <si>
    <t xml:space="preserve">vide </t>
  </si>
  <si>
    <t xml:space="preserve">mairie </t>
  </si>
  <si>
    <t xml:space="preserve">Outlier </t>
  </si>
  <si>
    <t>MANQUE DE MOYEN FINANCIÈRE</t>
  </si>
  <si>
    <t>Construction du marché</t>
  </si>
  <si>
    <t>VAT</t>
  </si>
  <si>
    <t xml:space="preserve">ligne supprimée </t>
  </si>
  <si>
    <t>26dc6e09-054e-4ed6-8464-7425db4b8f79</t>
  </si>
  <si>
    <t>Enquête test - formation enquêteur</t>
  </si>
  <si>
    <t>72149e53-ce48-45b2-9725-4379b3a5a14a</t>
  </si>
  <si>
    <t>a35dfece-166c-4076-98ab-235c66e76a96</t>
  </si>
  <si>
    <t>Suppressions d'enquêtes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</si>
</sst>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C_H_F_-;\-* #,##0.00\ _C_H_F_-;_-* &quot;-&quot;??\ _C_H_F_-;_-@_-"/>
    <numFmt numFmtId="164" formatCode="_-* #,##0\ _C_H_F_-;\-* #,##0\ _C_H_F_-;_-* &quot;-&quot;??\ _C_H_F_-;_-@_-"/>
    <numFmt numFmtId="165" formatCode="_-* #,##0.0\ _C_H_F_-;\-* #,##0.0\ _C_H_F_-;_-* &quot;-&quot;??\ _C_H_F_-;_-@_-"/>
  </numFmts>
  <fonts count="28" x14ac:knownFonts="1">
    <font>
      <sz val="11"/>
      <color theme="1"/>
      <name val="Calibri"/>
      <family val="2"/>
      <scheme val="minor"/>
    </font>
    <font>
      <sz val="11"/>
      <color theme="1"/>
      <name val="Calibri"/>
      <family val="2"/>
      <scheme val="minor"/>
    </font>
    <font>
      <sz val="11"/>
      <color theme="1"/>
      <name val="Arial Narrow"/>
      <family val="2"/>
    </font>
    <font>
      <sz val="11"/>
      <color theme="0"/>
      <name val="Arial Narrow"/>
      <family val="2"/>
    </font>
    <font>
      <b/>
      <sz val="11"/>
      <color theme="1"/>
      <name val="Arial Narrow"/>
      <family val="2"/>
    </font>
    <font>
      <b/>
      <sz val="12"/>
      <color theme="1"/>
      <name val="Arial Narrow"/>
      <family val="2"/>
    </font>
    <font>
      <i/>
      <sz val="11"/>
      <color theme="1"/>
      <name val="Arial Narrow"/>
      <family val="2"/>
    </font>
    <font>
      <i/>
      <sz val="12"/>
      <color theme="1"/>
      <name val="Arial Narrow"/>
      <family val="2"/>
    </font>
    <font>
      <sz val="10"/>
      <color theme="1"/>
      <name val="Arial Narrow"/>
      <family val="2"/>
    </font>
    <font>
      <sz val="9"/>
      <color theme="1"/>
      <name val="Arial Narrow"/>
      <family val="2"/>
    </font>
    <font>
      <i/>
      <sz val="9"/>
      <color theme="1"/>
      <name val="Arial Narrow"/>
      <family val="2"/>
    </font>
    <font>
      <b/>
      <sz val="11"/>
      <color rgb="FF582122"/>
      <name val="Arial Narrow"/>
      <family val="2"/>
    </font>
    <font>
      <b/>
      <i/>
      <sz val="12"/>
      <color theme="1"/>
      <name val="Arial Narrow"/>
      <family val="2"/>
    </font>
    <font>
      <i/>
      <sz val="8"/>
      <color theme="1"/>
      <name val="Arial Narrow"/>
      <family val="2"/>
    </font>
    <font>
      <b/>
      <i/>
      <sz val="10"/>
      <color rgb="FF837E6F"/>
      <name val="Arial Narrow"/>
      <family val="2"/>
    </font>
    <font>
      <i/>
      <sz val="11"/>
      <color rgb="FF582122"/>
      <name val="Arial Narrow"/>
      <family val="2"/>
    </font>
    <font>
      <b/>
      <sz val="11"/>
      <name val="Arial Narrow"/>
      <family val="2"/>
    </font>
    <font>
      <b/>
      <sz val="11"/>
      <color rgb="FF000000"/>
      <name val="Arial Narrow"/>
      <family val="2"/>
    </font>
    <font>
      <b/>
      <sz val="11"/>
      <color rgb="FF000000"/>
      <name val="Calibri"/>
      <family val="2"/>
    </font>
    <font>
      <b/>
      <sz val="10"/>
      <color rgb="FFFFFFFF"/>
      <name val="Arial Narrow"/>
      <family val="2"/>
    </font>
    <font>
      <sz val="10"/>
      <color theme="8" tint="-0.249977111117893"/>
      <name val="Arial Narrow"/>
      <family val="2"/>
    </font>
    <font>
      <u/>
      <sz val="11"/>
      <color theme="10"/>
      <name val="Calibri"/>
      <family val="2"/>
      <scheme val="minor"/>
    </font>
    <font>
      <sz val="10"/>
      <name val="Arial Narrow"/>
      <family val="2"/>
    </font>
    <font>
      <b/>
      <sz val="10"/>
      <color theme="8" tint="-0.249977111117893"/>
      <name val="Arial Narrow"/>
      <family val="2"/>
    </font>
    <font>
      <u/>
      <sz val="10"/>
      <color theme="10"/>
      <name val="Arial Narrow"/>
      <family val="2"/>
    </font>
    <font>
      <b/>
      <sz val="10"/>
      <name val="Arial Narrow"/>
      <family val="2"/>
    </font>
    <font>
      <u/>
      <sz val="10"/>
      <color rgb="FF0000FF"/>
      <name val="Arial Narrow"/>
      <family val="2"/>
    </font>
    <font>
      <b/>
      <sz val="11"/>
      <color rgb="FFFFFFFF"/>
      <name val="Arial Narrow"/>
      <family val="2"/>
    </font>
  </fonts>
  <fills count="13">
    <fill>
      <patternFill patternType="none"/>
    </fill>
    <fill>
      <patternFill patternType="gray125"/>
    </fill>
    <fill>
      <patternFill patternType="solid">
        <fgColor rgb="FFFFFF00"/>
        <bgColor indexed="64"/>
      </patternFill>
    </fill>
    <fill>
      <patternFill patternType="solid">
        <fgColor rgb="FF582122"/>
        <bgColor indexed="64"/>
      </patternFill>
    </fill>
    <fill>
      <patternFill patternType="solid">
        <fgColor theme="5" tint="0.59999389629810485"/>
        <bgColor indexed="64"/>
      </patternFill>
    </fill>
    <fill>
      <patternFill patternType="solid">
        <fgColor theme="0"/>
        <bgColor indexed="64"/>
      </patternFill>
    </fill>
    <fill>
      <patternFill patternType="solid">
        <fgColor rgb="FFFFFF66"/>
        <bgColor indexed="64"/>
      </patternFill>
    </fill>
    <fill>
      <patternFill patternType="solid">
        <fgColor theme="2"/>
        <bgColor rgb="FFF8CBAD"/>
      </patternFill>
    </fill>
    <fill>
      <patternFill patternType="solid">
        <fgColor theme="2"/>
        <bgColor rgb="FFFCE4D6"/>
      </patternFill>
    </fill>
    <fill>
      <patternFill patternType="solid">
        <fgColor rgb="FFD9D9D9"/>
        <bgColor rgb="FFFCE4D6"/>
      </patternFill>
    </fill>
    <fill>
      <patternFill patternType="solid">
        <fgColor rgb="FFEE5859"/>
        <bgColor rgb="FF000000"/>
      </patternFill>
    </fill>
    <fill>
      <patternFill patternType="solid">
        <fgColor theme="5" tint="0.59999389629810485"/>
        <bgColor rgb="FF000000"/>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indexed="64"/>
      </left>
      <right/>
      <top style="thin">
        <color indexed="64"/>
      </top>
      <bottom/>
      <diagonal/>
    </border>
    <border>
      <left/>
      <right style="medium">
        <color auto="1"/>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cellStyleXfs>
  <cellXfs count="188">
    <xf numFmtId="0" fontId="0" fillId="0" borderId="0" xfId="0"/>
    <xf numFmtId="0" fontId="2" fillId="0" borderId="0" xfId="0" applyFont="1"/>
    <xf numFmtId="0" fontId="2" fillId="0" borderId="0" xfId="0" applyNumberFormat="1" applyFont="1"/>
    <xf numFmtId="0" fontId="2" fillId="0" borderId="1" xfId="0" applyFont="1" applyBorder="1"/>
    <xf numFmtId="164" fontId="2" fillId="0" borderId="1" xfId="1" applyNumberFormat="1" applyFont="1" applyBorder="1"/>
    <xf numFmtId="0" fontId="4" fillId="0" borderId="1" xfId="0" applyFont="1" applyBorder="1" applyAlignment="1">
      <alignment horizontal="center" vertical="center"/>
    </xf>
    <xf numFmtId="0" fontId="3" fillId="4" borderId="1" xfId="0" applyFont="1" applyFill="1" applyBorder="1" applyAlignment="1">
      <alignment vertical="top" wrapText="1"/>
    </xf>
    <xf numFmtId="9" fontId="2" fillId="0" borderId="1" xfId="2" applyFont="1" applyBorder="1"/>
    <xf numFmtId="0" fontId="3" fillId="3" borderId="1" xfId="0" applyFont="1" applyFill="1" applyBorder="1" applyAlignment="1">
      <alignment horizontal="center" vertical="center" wrapText="1"/>
    </xf>
    <xf numFmtId="0" fontId="5" fillId="5" borderId="0" xfId="0" applyFont="1" applyFill="1"/>
    <xf numFmtId="0" fontId="2" fillId="5" borderId="0" xfId="0" applyFont="1" applyFill="1"/>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0" xfId="0" applyFont="1" applyAlignment="1">
      <alignment horizontal="center" vertical="top"/>
    </xf>
    <xf numFmtId="0" fontId="2" fillId="5" borderId="0" xfId="0" applyFont="1" applyFill="1" applyBorder="1"/>
    <xf numFmtId="9" fontId="2" fillId="5" borderId="0" xfId="2" applyFont="1" applyFill="1" applyBorder="1"/>
    <xf numFmtId="164" fontId="2" fillId="5" borderId="0" xfId="1" applyNumberFormat="1" applyFont="1" applyFill="1" applyBorder="1"/>
    <xf numFmtId="164" fontId="6" fillId="5" borderId="0" xfId="1" applyNumberFormat="1" applyFont="1" applyFill="1" applyBorder="1"/>
    <xf numFmtId="0" fontId="6" fillId="5" borderId="0" xfId="0" applyFont="1" applyFill="1"/>
    <xf numFmtId="164" fontId="4" fillId="5" borderId="0" xfId="1" applyNumberFormat="1" applyFont="1" applyFill="1"/>
    <xf numFmtId="0" fontId="2" fillId="5" borderId="0" xfId="0" applyFont="1" applyFill="1" applyAlignment="1">
      <alignment horizontal="center" vertical="top"/>
    </xf>
    <xf numFmtId="0" fontId="4" fillId="5" borderId="0" xfId="0" applyFont="1" applyFill="1"/>
    <xf numFmtId="0" fontId="4" fillId="5" borderId="0" xfId="0" applyFont="1" applyFill="1" applyAlignment="1">
      <alignment horizontal="center"/>
    </xf>
    <xf numFmtId="0" fontId="0" fillId="5" borderId="0" xfId="0" applyFill="1"/>
    <xf numFmtId="0" fontId="2" fillId="5" borderId="1" xfId="0" applyFont="1" applyFill="1" applyBorder="1"/>
    <xf numFmtId="164" fontId="2" fillId="5" borderId="1" xfId="0" applyNumberFormat="1" applyFont="1" applyFill="1" applyBorder="1"/>
    <xf numFmtId="9" fontId="2" fillId="5" borderId="0" xfId="0" applyNumberFormat="1" applyFont="1" applyFill="1"/>
    <xf numFmtId="165" fontId="2" fillId="5" borderId="0" xfId="1" applyNumberFormat="1" applyFont="1" applyFill="1"/>
    <xf numFmtId="165" fontId="4" fillId="5" borderId="0" xfId="1" applyNumberFormat="1" applyFont="1" applyFill="1"/>
    <xf numFmtId="0" fontId="7" fillId="5" borderId="0" xfId="0" applyFont="1" applyFill="1"/>
    <xf numFmtId="164" fontId="2" fillId="5" borderId="0" xfId="1" applyNumberFormat="1" applyFont="1" applyFill="1"/>
    <xf numFmtId="164" fontId="6" fillId="5" borderId="0" xfId="1" applyNumberFormat="1" applyFont="1" applyFill="1"/>
    <xf numFmtId="164" fontId="4" fillId="5" borderId="0" xfId="1" applyNumberFormat="1" applyFont="1" applyFill="1" applyBorder="1"/>
    <xf numFmtId="9" fontId="4" fillId="5" borderId="0" xfId="2" applyFont="1" applyFill="1" applyBorder="1"/>
    <xf numFmtId="0" fontId="6" fillId="5" borderId="0" xfId="0" applyFont="1" applyFill="1" applyBorder="1"/>
    <xf numFmtId="0" fontId="3" fillId="3" borderId="1" xfId="0" applyFont="1" applyFill="1" applyBorder="1" applyAlignment="1">
      <alignment horizontal="center" vertical="top" wrapText="1"/>
    </xf>
    <xf numFmtId="0" fontId="2" fillId="5" borderId="0" xfId="0" applyFont="1" applyFill="1" applyAlignment="1">
      <alignment vertical="top"/>
    </xf>
    <xf numFmtId="0" fontId="3" fillId="5" borderId="1" xfId="0" applyFont="1" applyFill="1" applyBorder="1" applyAlignment="1">
      <alignment horizontal="center" vertical="center" wrapText="1"/>
    </xf>
    <xf numFmtId="164" fontId="2" fillId="5" borderId="1" xfId="1" applyNumberFormat="1" applyFont="1" applyFill="1" applyBorder="1"/>
    <xf numFmtId="9" fontId="2" fillId="5" borderId="1" xfId="2" applyFont="1" applyFill="1" applyBorder="1"/>
    <xf numFmtId="0" fontId="3" fillId="4" borderId="1" xfId="0" applyFont="1" applyFill="1" applyBorder="1" applyAlignment="1">
      <alignment horizontal="left" vertical="top" wrapText="1"/>
    </xf>
    <xf numFmtId="0" fontId="2" fillId="5" borderId="0" xfId="0" applyFont="1" applyFill="1" applyAlignment="1">
      <alignment horizontal="left" vertical="top"/>
    </xf>
    <xf numFmtId="9" fontId="6" fillId="5" borderId="0" xfId="2" applyFont="1" applyFill="1" applyBorder="1"/>
    <xf numFmtId="0" fontId="2" fillId="0" borderId="1" xfId="0" applyFont="1" applyBorder="1" applyAlignment="1">
      <alignment vertical="top"/>
    </xf>
    <xf numFmtId="0" fontId="4" fillId="5" borderId="0" xfId="0" applyFont="1" applyFill="1" applyAlignment="1">
      <alignment horizontal="center" vertical="center"/>
    </xf>
    <xf numFmtId="0" fontId="7" fillId="5" borderId="0" xfId="0" applyFont="1" applyFill="1" applyBorder="1"/>
    <xf numFmtId="0" fontId="7" fillId="5" borderId="0" xfId="0" applyFont="1" applyFill="1" applyAlignment="1">
      <alignment vertical="top"/>
    </xf>
    <xf numFmtId="0" fontId="2" fillId="5" borderId="0" xfId="0" applyFont="1" applyFill="1" applyBorder="1" applyAlignment="1">
      <alignment vertical="top"/>
    </xf>
    <xf numFmtId="9" fontId="2" fillId="5" borderId="0" xfId="2" applyFont="1" applyFill="1" applyBorder="1" applyAlignment="1">
      <alignment vertical="top"/>
    </xf>
    <xf numFmtId="0" fontId="8" fillId="5" borderId="0" xfId="0" applyFont="1" applyFill="1" applyAlignment="1">
      <alignment vertical="top"/>
    </xf>
    <xf numFmtId="0" fontId="2" fillId="0" borderId="0"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vertical="top" wrapText="1"/>
    </xf>
    <xf numFmtId="9" fontId="2" fillId="0" borderId="1" xfId="2"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NumberFormat="1" applyFont="1" applyFill="1"/>
    <xf numFmtId="9" fontId="7" fillId="5" borderId="0" xfId="2" applyFont="1" applyFill="1" applyBorder="1"/>
    <xf numFmtId="0" fontId="7" fillId="0" borderId="0" xfId="0" applyFont="1"/>
    <xf numFmtId="0" fontId="0" fillId="5" borderId="0" xfId="0" applyFill="1" applyAlignment="1">
      <alignment vertical="top"/>
    </xf>
    <xf numFmtId="164" fontId="4" fillId="5" borderId="1" xfId="0" applyNumberFormat="1" applyFont="1" applyFill="1" applyBorder="1"/>
    <xf numFmtId="49" fontId="2" fillId="0" borderId="0" xfId="0" applyNumberFormat="1" applyFont="1"/>
    <xf numFmtId="0" fontId="2" fillId="5" borderId="0" xfId="0" applyFont="1" applyFill="1" applyAlignment="1">
      <alignment vertical="top" wrapText="1"/>
    </xf>
    <xf numFmtId="0" fontId="2" fillId="5" borderId="0" xfId="0" applyFont="1" applyFill="1" applyBorder="1" applyAlignment="1">
      <alignment vertical="top" wrapText="1"/>
    </xf>
    <xf numFmtId="43" fontId="4" fillId="5" borderId="0" xfId="1" applyFont="1" applyFill="1" applyBorder="1" applyAlignment="1">
      <alignment vertical="top" wrapText="1"/>
    </xf>
    <xf numFmtId="0" fontId="7" fillId="0" borderId="0" xfId="0" applyFont="1" applyBorder="1" applyAlignment="1">
      <alignment vertical="top"/>
    </xf>
    <xf numFmtId="0" fontId="11" fillId="5" borderId="0" xfId="0" applyFont="1" applyFill="1"/>
    <xf numFmtId="164" fontId="4" fillId="5" borderId="0" xfId="1" quotePrefix="1" applyNumberFormat="1" applyFont="1" applyFill="1"/>
    <xf numFmtId="165" fontId="11" fillId="5" borderId="0" xfId="1" applyNumberFormat="1" applyFont="1" applyFill="1" applyAlignment="1"/>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0" xfId="0" applyFont="1" applyFill="1" applyAlignment="1">
      <alignment vertical="top"/>
    </xf>
    <xf numFmtId="0" fontId="11" fillId="5" borderId="0" xfId="0" quotePrefix="1" applyFont="1" applyFill="1"/>
    <xf numFmtId="0" fontId="2" fillId="5" borderId="1" xfId="0" applyFont="1" applyFill="1" applyBorder="1" applyAlignment="1">
      <alignment vertical="top"/>
    </xf>
    <xf numFmtId="0" fontId="11" fillId="5" borderId="0" xfId="0" quotePrefix="1" applyFont="1" applyFill="1" applyBorder="1"/>
    <xf numFmtId="0" fontId="2" fillId="2" borderId="1" xfId="0" applyFont="1" applyFill="1" applyBorder="1"/>
    <xf numFmtId="0" fontId="2" fillId="0" borderId="1" xfId="2" applyNumberFormat="1" applyFont="1" applyBorder="1"/>
    <xf numFmtId="0" fontId="12" fillId="5" borderId="0" xfId="0" applyFont="1" applyFill="1"/>
    <xf numFmtId="0" fontId="12" fillId="5" borderId="0" xfId="0" applyFont="1" applyFill="1" applyAlignment="1">
      <alignment vertical="top"/>
    </xf>
    <xf numFmtId="0" fontId="2" fillId="5" borderId="1" xfId="1" applyNumberFormat="1" applyFont="1" applyFill="1" applyBorder="1"/>
    <xf numFmtId="2" fontId="2" fillId="0" borderId="0" xfId="1" applyNumberFormat="1" applyFont="1"/>
    <xf numFmtId="0" fontId="2" fillId="5" borderId="0" xfId="0" applyFont="1" applyFill="1" applyAlignment="1">
      <alignment horizontal="left" vertical="top" wrapText="1"/>
    </xf>
    <xf numFmtId="0" fontId="4" fillId="0" borderId="0" xfId="0" applyFont="1" applyFill="1" applyAlignment="1">
      <alignment horizontal="right"/>
    </xf>
    <xf numFmtId="2" fontId="2" fillId="0" borderId="0" xfId="0" applyNumberFormat="1" applyFont="1"/>
    <xf numFmtId="9" fontId="2" fillId="5" borderId="0" xfId="2" quotePrefix="1" applyFont="1" applyFill="1" applyBorder="1"/>
    <xf numFmtId="9" fontId="11" fillId="5" borderId="0" xfId="2" quotePrefix="1" applyFont="1" applyFill="1" applyBorder="1"/>
    <xf numFmtId="0" fontId="4" fillId="0" borderId="1" xfId="0" applyFont="1" applyBorder="1" applyAlignment="1">
      <alignment horizontal="center"/>
    </xf>
    <xf numFmtId="0" fontId="2" fillId="5" borderId="1" xfId="0" applyFont="1" applyFill="1" applyBorder="1" applyAlignment="1">
      <alignment vertical="top" wrapText="1"/>
    </xf>
    <xf numFmtId="164" fontId="2" fillId="0" borderId="0" xfId="1" applyNumberFormat="1" applyFont="1"/>
    <xf numFmtId="0" fontId="2" fillId="0" borderId="0" xfId="0" applyFont="1" applyBorder="1" applyAlignment="1">
      <alignment vertical="top" wrapText="1"/>
    </xf>
    <xf numFmtId="164" fontId="4" fillId="2" borderId="0" xfId="1" applyNumberFormat="1" applyFont="1" applyFill="1"/>
    <xf numFmtId="164" fontId="4" fillId="5" borderId="0" xfId="1" applyNumberFormat="1" applyFont="1" applyFill="1" applyAlignment="1">
      <alignment horizontal="left"/>
    </xf>
    <xf numFmtId="9" fontId="2" fillId="0" borderId="1" xfId="2" applyFont="1" applyBorder="1" applyAlignment="1"/>
    <xf numFmtId="0" fontId="2" fillId="5" borderId="0" xfId="0" applyFont="1" applyFill="1" applyAlignment="1"/>
    <xf numFmtId="0" fontId="2" fillId="0" borderId="0" xfId="0" applyFont="1" applyAlignment="1"/>
    <xf numFmtId="0" fontId="2" fillId="0" borderId="0" xfId="0" applyFont="1" applyBorder="1" applyAlignment="1">
      <alignment wrapText="1"/>
    </xf>
    <xf numFmtId="0" fontId="2" fillId="5" borderId="0" xfId="0" applyFont="1" applyFill="1" applyAlignment="1">
      <alignment vertical="center"/>
    </xf>
    <xf numFmtId="0" fontId="2" fillId="0" borderId="0" xfId="0" applyFont="1" applyAlignment="1">
      <alignment vertical="center"/>
    </xf>
    <xf numFmtId="9" fontId="2" fillId="0" borderId="1" xfId="2" applyFont="1" applyBorder="1" applyAlignment="1">
      <alignment horizontal="center"/>
    </xf>
    <xf numFmtId="0" fontId="2" fillId="0" borderId="1" xfId="0" applyFont="1" applyBorder="1" applyAlignment="1">
      <alignment horizontal="left" wrapText="1"/>
    </xf>
    <xf numFmtId="9" fontId="4" fillId="0" borderId="1" xfId="2" applyFont="1" applyBorder="1" applyAlignment="1">
      <alignment horizontal="center"/>
    </xf>
    <xf numFmtId="0" fontId="14" fillId="5" borderId="0" xfId="0" applyFont="1" applyFill="1"/>
    <xf numFmtId="9" fontId="2" fillId="0" borderId="1" xfId="2" applyFont="1" applyBorder="1" applyAlignment="1">
      <alignment horizontal="right"/>
    </xf>
    <xf numFmtId="0" fontId="2" fillId="5" borderId="0" xfId="0" applyFont="1" applyFill="1" applyAlignment="1">
      <alignment horizontal="right"/>
    </xf>
    <xf numFmtId="0" fontId="2" fillId="0" borderId="0" xfId="0" applyFont="1" applyAlignment="1">
      <alignment horizontal="right"/>
    </xf>
    <xf numFmtId="0" fontId="2" fillId="5" borderId="0" xfId="0" applyFont="1" applyFill="1" applyBorder="1" applyAlignment="1">
      <alignment horizontal="right"/>
    </xf>
    <xf numFmtId="9" fontId="2" fillId="5" borderId="0" xfId="2" applyFont="1" applyFill="1" applyBorder="1" applyAlignment="1">
      <alignment horizontal="right"/>
    </xf>
    <xf numFmtId="164" fontId="4" fillId="0" borderId="1" xfId="0" applyNumberFormat="1" applyFont="1" applyBorder="1" applyAlignme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5" borderId="0" xfId="0" applyFill="1" applyAlignment="1">
      <alignment vertical="center"/>
    </xf>
    <xf numFmtId="9" fontId="4" fillId="0" borderId="1" xfId="0" applyNumberFormat="1"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9" fontId="2" fillId="0" borderId="1" xfId="0" applyNumberFormat="1" applyFont="1" applyBorder="1" applyAlignment="1">
      <alignment horizontal="center"/>
    </xf>
    <xf numFmtId="0" fontId="8" fillId="5" borderId="0" xfId="0" applyFont="1" applyFill="1"/>
    <xf numFmtId="0" fontId="3" fillId="4" borderId="1" xfId="0" applyFont="1" applyFill="1" applyBorder="1" applyAlignment="1">
      <alignment vertical="center" wrapText="1"/>
    </xf>
    <xf numFmtId="9" fontId="4" fillId="5" borderId="1" xfId="2" applyFont="1" applyFill="1" applyBorder="1" applyAlignment="1">
      <alignment horizontal="center" vertical="center"/>
    </xf>
    <xf numFmtId="9" fontId="2" fillId="5" borderId="1" xfId="2" applyFont="1" applyFill="1" applyBorder="1" applyAlignment="1"/>
    <xf numFmtId="0" fontId="2" fillId="5" borderId="1" xfId="0" applyFont="1" applyFill="1" applyBorder="1" applyAlignment="1">
      <alignment wrapText="1"/>
    </xf>
    <xf numFmtId="0" fontId="11" fillId="5" borderId="0" xfId="0" quotePrefix="1" applyFont="1" applyFill="1" applyAlignment="1">
      <alignment horizontal="right"/>
    </xf>
    <xf numFmtId="0" fontId="2" fillId="6" borderId="1" xfId="0" applyFont="1" applyFill="1" applyBorder="1"/>
    <xf numFmtId="9" fontId="2" fillId="0" borderId="0" xfId="2" applyFont="1" applyBorder="1" applyAlignment="1">
      <alignment horizontal="center"/>
    </xf>
    <xf numFmtId="0" fontId="4" fillId="0" borderId="1" xfId="0" applyFont="1" applyFill="1" applyBorder="1" applyAlignment="1">
      <alignment horizontal="center" vertical="center" wrapText="1"/>
    </xf>
    <xf numFmtId="9" fontId="4" fillId="5" borderId="1" xfId="2" applyFont="1" applyFill="1" applyBorder="1" applyAlignment="1">
      <alignment horizontal="center"/>
    </xf>
    <xf numFmtId="0" fontId="2" fillId="5" borderId="1" xfId="0" applyFont="1" applyFill="1" applyBorder="1" applyAlignment="1">
      <alignment horizontal="center" vertical="center" wrapText="1"/>
    </xf>
    <xf numFmtId="9" fontId="2" fillId="5" borderId="1" xfId="2" applyFont="1" applyFill="1" applyBorder="1" applyAlignment="1">
      <alignment horizontal="center"/>
    </xf>
    <xf numFmtId="9" fontId="2" fillId="5" borderId="0" xfId="2" applyFont="1" applyFill="1" applyBorder="1" applyAlignment="1">
      <alignment horizontal="center"/>
    </xf>
    <xf numFmtId="0" fontId="2" fillId="5" borderId="0" xfId="0" applyFont="1" applyFill="1" applyBorder="1" applyAlignment="1">
      <alignment wrapText="1"/>
    </xf>
    <xf numFmtId="164" fontId="11" fillId="5" borderId="0" xfId="1" quotePrefix="1" applyNumberFormat="1" applyFont="1" applyFill="1" applyBorder="1"/>
    <xf numFmtId="0" fontId="4" fillId="0" borderId="0" xfId="0" applyFont="1" applyFill="1"/>
    <xf numFmtId="9" fontId="15" fillId="5" borderId="0" xfId="2" applyFont="1" applyFill="1" applyBorder="1"/>
    <xf numFmtId="164" fontId="16" fillId="5" borderId="0" xfId="1" quotePrefix="1" applyNumberFormat="1" applyFont="1" applyFill="1" applyBorder="1"/>
    <xf numFmtId="0" fontId="11" fillId="5" borderId="0" xfId="0" quotePrefix="1" applyFont="1" applyFill="1" applyAlignment="1">
      <alignment horizontal="left"/>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21" fillId="0" borderId="0" xfId="3"/>
    <xf numFmtId="0" fontId="22" fillId="7" borderId="7" xfId="0" applyFont="1" applyFill="1" applyBorder="1" applyAlignment="1">
      <alignment vertical="center" wrapText="1"/>
    </xf>
    <xf numFmtId="0" fontId="20" fillId="7" borderId="8" xfId="0" applyFont="1" applyFill="1" applyBorder="1" applyAlignment="1">
      <alignment vertical="center" wrapText="1"/>
    </xf>
    <xf numFmtId="0" fontId="22" fillId="8" borderId="7" xfId="0" applyFont="1" applyFill="1" applyBorder="1" applyAlignment="1">
      <alignment vertical="center" wrapText="1"/>
    </xf>
    <xf numFmtId="0" fontId="20" fillId="8" borderId="8" xfId="0" applyFont="1" applyFill="1" applyBorder="1" applyAlignment="1">
      <alignment horizontal="left" vertical="center" wrapText="1"/>
    </xf>
    <xf numFmtId="0" fontId="24" fillId="8" borderId="8" xfId="3" applyFont="1" applyFill="1" applyBorder="1" applyAlignment="1">
      <alignment horizontal="left" vertical="center" wrapText="1"/>
    </xf>
    <xf numFmtId="0" fontId="25" fillId="9" borderId="9" xfId="0" applyFont="1" applyFill="1" applyBorder="1" applyAlignment="1">
      <alignment vertical="center" wrapText="1"/>
    </xf>
    <xf numFmtId="0" fontId="26" fillId="9" borderId="10" xfId="3" applyFont="1" applyFill="1" applyBorder="1" applyAlignment="1">
      <alignment horizontal="left" vertical="center" wrapText="1"/>
    </xf>
    <xf numFmtId="164" fontId="2" fillId="0" borderId="0" xfId="1" applyNumberFormat="1" applyFont="1" applyFill="1"/>
    <xf numFmtId="0" fontId="15" fillId="5" borderId="0" xfId="0" applyFont="1" applyFill="1"/>
    <xf numFmtId="0" fontId="11" fillId="0" borderId="0" xfId="0" quotePrefix="1" applyFont="1" applyFill="1"/>
    <xf numFmtId="0" fontId="11" fillId="0" borderId="0" xfId="0" quotePrefix="1" applyFont="1" applyFill="1" applyBorder="1"/>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0" fillId="7" borderId="6" xfId="0" applyFont="1" applyFill="1" applyBorder="1" applyAlignment="1">
      <alignment horizontal="left" vertical="top" wrapText="1"/>
    </xf>
    <xf numFmtId="0" fontId="20" fillId="7" borderId="5" xfId="0" applyFont="1" applyFill="1" applyBorder="1" applyAlignment="1">
      <alignment horizontal="left" vertical="top" wrapText="1"/>
    </xf>
    <xf numFmtId="0" fontId="7" fillId="5" borderId="0" xfId="0" applyFont="1" applyFill="1" applyAlignment="1">
      <alignment horizontal="left" vertical="top" wrapText="1"/>
    </xf>
    <xf numFmtId="0" fontId="12" fillId="5" borderId="0" xfId="0" applyFont="1" applyFill="1" applyAlignment="1">
      <alignment horizontal="left" vertical="top" wrapText="1"/>
    </xf>
    <xf numFmtId="0" fontId="11" fillId="5" borderId="0" xfId="0" quotePrefix="1" applyFont="1" applyFill="1" applyAlignment="1">
      <alignment horizontal="left" vertical="top" wrapText="1"/>
    </xf>
    <xf numFmtId="49" fontId="27" fillId="10" borderId="1" xfId="0" applyNumberFormat="1" applyFont="1" applyFill="1" applyBorder="1" applyAlignment="1" applyProtection="1">
      <alignment horizontal="left" vertical="top" wrapText="1"/>
    </xf>
    <xf numFmtId="0" fontId="27" fillId="10" borderId="1" xfId="0" applyFont="1" applyFill="1" applyBorder="1" applyAlignment="1" applyProtection="1">
      <alignment horizontal="left" vertical="top" wrapText="1"/>
    </xf>
    <xf numFmtId="49" fontId="27" fillId="11" borderId="11" xfId="0" applyNumberFormat="1" applyFont="1" applyFill="1" applyBorder="1" applyAlignment="1" applyProtection="1">
      <alignment horizontal="left" vertical="top" wrapText="1"/>
    </xf>
    <xf numFmtId="49" fontId="27" fillId="11" borderId="12" xfId="0" applyNumberFormat="1" applyFont="1" applyFill="1" applyBorder="1" applyAlignment="1" applyProtection="1">
      <alignment horizontal="left" vertical="top" wrapText="1"/>
    </xf>
    <xf numFmtId="49" fontId="27" fillId="11" borderId="13" xfId="0" applyNumberFormat="1" applyFont="1" applyFill="1" applyBorder="1" applyAlignment="1" applyProtection="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Fill="1" applyBorder="1" applyAlignment="1">
      <alignment vertical="top"/>
    </xf>
    <xf numFmtId="0" fontId="2" fillId="0" borderId="1" xfId="0" applyFont="1" applyFill="1" applyBorder="1" applyAlignment="1">
      <alignment horizontal="left" vertical="top"/>
    </xf>
    <xf numFmtId="0" fontId="2" fillId="0" borderId="0" xfId="0" applyFont="1" applyFill="1" applyAlignment="1">
      <alignment vertical="center"/>
    </xf>
    <xf numFmtId="0" fontId="2" fillId="0" borderId="1" xfId="0" applyNumberFormat="1" applyFont="1" applyBorder="1" applyAlignment="1">
      <alignment vertical="top"/>
    </xf>
    <xf numFmtId="0" fontId="2" fillId="0" borderId="0" xfId="0" applyFont="1" applyFill="1" applyAlignment="1">
      <alignmen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horizontal="left" vertical="top" wrapText="1"/>
    </xf>
    <xf numFmtId="0" fontId="2" fillId="0" borderId="1" xfId="4" applyFont="1" applyBorder="1" applyAlignment="1">
      <alignment vertical="top"/>
    </xf>
    <xf numFmtId="0" fontId="2" fillId="0" borderId="1" xfId="4" applyFont="1" applyBorder="1" applyAlignment="1">
      <alignment horizontal="left" vertical="top"/>
    </xf>
    <xf numFmtId="0" fontId="2" fillId="0" borderId="1" xfId="4" applyFont="1" applyFill="1" applyBorder="1" applyAlignment="1">
      <alignment horizontal="left" vertical="top"/>
    </xf>
    <xf numFmtId="0" fontId="2" fillId="0" borderId="0" xfId="0" applyFont="1" applyFill="1" applyAlignment="1">
      <alignment horizontal="left" vertical="top"/>
    </xf>
    <xf numFmtId="0" fontId="2" fillId="0" borderId="14" xfId="0" applyFont="1" applyFill="1" applyBorder="1" applyAlignment="1">
      <alignment vertical="top"/>
    </xf>
    <xf numFmtId="0" fontId="2" fillId="0" borderId="14" xfId="0" applyFont="1" applyFill="1" applyBorder="1" applyAlignment="1">
      <alignment horizontal="left" vertical="top"/>
    </xf>
    <xf numFmtId="0" fontId="2" fillId="0" borderId="1" xfId="0" applyNumberFormat="1" applyFont="1" applyBorder="1" applyAlignment="1">
      <alignment horizontal="left" vertical="top"/>
    </xf>
    <xf numFmtId="49" fontId="27" fillId="11" borderId="11" xfId="0" applyNumberFormat="1" applyFont="1" applyFill="1" applyBorder="1" applyAlignment="1" applyProtection="1">
      <alignment horizontal="left" vertical="center" wrapText="1"/>
    </xf>
    <xf numFmtId="49" fontId="27" fillId="11" borderId="12" xfId="0" applyNumberFormat="1" applyFont="1" applyFill="1" applyBorder="1" applyAlignment="1" applyProtection="1">
      <alignment horizontal="left" vertical="center" wrapText="1"/>
    </xf>
    <xf numFmtId="49" fontId="27" fillId="11" borderId="13" xfId="0" applyNumberFormat="1" applyFont="1" applyFill="1" applyBorder="1" applyAlignment="1" applyProtection="1">
      <alignment horizontal="left" vertical="center" wrapText="1"/>
    </xf>
    <xf numFmtId="49" fontId="27" fillId="10" borderId="11" xfId="0" applyNumberFormat="1" applyFont="1" applyFill="1" applyBorder="1" applyAlignment="1" applyProtection="1">
      <alignment horizontal="center" vertical="center" wrapText="1"/>
    </xf>
    <xf numFmtId="49" fontId="27" fillId="10" borderId="12" xfId="0" applyNumberFormat="1" applyFont="1" applyFill="1" applyBorder="1" applyAlignment="1" applyProtection="1">
      <alignment horizontal="center" vertical="center" wrapText="1"/>
    </xf>
    <xf numFmtId="49" fontId="27" fillId="10" borderId="13" xfId="0" applyNumberFormat="1" applyFont="1" applyFill="1" applyBorder="1" applyAlignment="1" applyProtection="1">
      <alignment horizontal="center" vertical="center" wrapText="1"/>
    </xf>
    <xf numFmtId="0" fontId="2" fillId="12" borderId="1" xfId="0" applyFont="1" applyFill="1" applyBorder="1" applyAlignment="1">
      <alignment horizontal="left" vertical="top"/>
    </xf>
    <xf numFmtId="0" fontId="2" fillId="12" borderId="0" xfId="4" applyFont="1" applyFill="1" applyAlignment="1">
      <alignment horizontal="left" vertical="top"/>
    </xf>
    <xf numFmtId="0" fontId="2" fillId="5" borderId="15" xfId="0" quotePrefix="1" applyFont="1" applyFill="1" applyBorder="1"/>
  </cellXfs>
  <cellStyles count="5">
    <cellStyle name="Comma" xfId="1" builtinId="3"/>
    <cellStyle name="Hyperlink" xfId="3" builtinId="8"/>
    <cellStyle name="Normal" xfId="0" builtinId="0"/>
    <cellStyle name="Normal 2" xfId="4"/>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82122"/>
      <color rgb="FFDDD7C3"/>
      <color rgb="FF837E6F"/>
      <color rgb="FFFFFF66"/>
      <color rgb="FFFFFFCC"/>
      <color rgb="FF008080"/>
      <color rgb="FFD1D3D4"/>
      <color rgb="FF2958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initiatives.org/what-we-do/publications/?pcountry=central-african-republic&amp;dates=Date&amp;ptype=&amp;initiative=ago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2122"/>
  </sheetPr>
  <dimension ref="A1:C11"/>
  <sheetViews>
    <sheetView workbookViewId="0">
      <selection activeCell="B7" sqref="B7"/>
    </sheetView>
  </sheetViews>
  <sheetFormatPr defaultRowHeight="14.5" x14ac:dyDescent="0.35"/>
  <cols>
    <col min="1" max="1" width="55" customWidth="1"/>
    <col min="2" max="2" width="106.6328125" customWidth="1"/>
  </cols>
  <sheetData>
    <row r="1" spans="1:3" ht="15" thickBot="1" x14ac:dyDescent="0.4">
      <c r="A1" s="150" t="s">
        <v>3379</v>
      </c>
      <c r="B1" s="151"/>
    </row>
    <row r="2" spans="1:3" ht="15" thickBot="1" x14ac:dyDescent="0.4">
      <c r="A2" s="136" t="s">
        <v>3365</v>
      </c>
      <c r="B2" s="137"/>
    </row>
    <row r="3" spans="1:3" ht="57" customHeight="1" thickBot="1" x14ac:dyDescent="0.4">
      <c r="A3" s="152" t="s">
        <v>3395</v>
      </c>
      <c r="B3" s="153"/>
      <c r="C3" s="138"/>
    </row>
    <row r="4" spans="1:3" ht="15" thickBot="1" x14ac:dyDescent="0.4">
      <c r="A4" s="136" t="s">
        <v>3366</v>
      </c>
      <c r="B4" s="137" t="s">
        <v>3367</v>
      </c>
    </row>
    <row r="5" spans="1:3" ht="15" thickBot="1" x14ac:dyDescent="0.4">
      <c r="A5" s="139" t="s">
        <v>3368</v>
      </c>
      <c r="B5" s="140" t="s">
        <v>3378</v>
      </c>
    </row>
    <row r="6" spans="1:3" ht="15" thickBot="1" x14ac:dyDescent="0.4">
      <c r="A6" s="141" t="s">
        <v>3369</v>
      </c>
      <c r="B6" s="142" t="s">
        <v>3380</v>
      </c>
    </row>
    <row r="7" spans="1:3" ht="104.5" thickBot="1" x14ac:dyDescent="0.4">
      <c r="A7" s="141" t="s">
        <v>3370</v>
      </c>
      <c r="B7" s="142" t="s">
        <v>3381</v>
      </c>
    </row>
    <row r="8" spans="1:3" ht="65.5" thickBot="1" x14ac:dyDescent="0.4">
      <c r="A8" s="141" t="s">
        <v>3371</v>
      </c>
      <c r="B8" s="142" t="s">
        <v>3372</v>
      </c>
    </row>
    <row r="9" spans="1:3" ht="286.5" thickBot="1" x14ac:dyDescent="0.4">
      <c r="A9" s="141" t="s">
        <v>3373</v>
      </c>
      <c r="B9" s="142" t="s">
        <v>3382</v>
      </c>
    </row>
    <row r="10" spans="1:3" ht="15" thickBot="1" x14ac:dyDescent="0.4">
      <c r="A10" s="141" t="s">
        <v>3374</v>
      </c>
      <c r="B10" s="143" t="s">
        <v>3375</v>
      </c>
    </row>
    <row r="11" spans="1:3" ht="15" thickBot="1" x14ac:dyDescent="0.4">
      <c r="A11" s="144" t="s">
        <v>3376</v>
      </c>
      <c r="B11" s="145" t="s">
        <v>3377</v>
      </c>
    </row>
  </sheetData>
  <mergeCells count="2">
    <mergeCell ref="A1:B1"/>
    <mergeCell ref="A3:B3"/>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5"/>
  <sheetViews>
    <sheetView tabSelected="1" workbookViewId="0">
      <selection activeCell="L17" sqref="L17"/>
    </sheetView>
  </sheetViews>
  <sheetFormatPr defaultRowHeight="14" x14ac:dyDescent="0.3"/>
  <cols>
    <col min="1" max="1" width="32.54296875" style="56" customWidth="1"/>
    <col min="2" max="2" width="32.26953125" style="56" customWidth="1"/>
    <col min="3" max="3" width="22.90625" style="163" customWidth="1"/>
    <col min="4" max="4" width="18.54296875" style="163" customWidth="1"/>
    <col min="5" max="5" width="32.7265625" style="56" customWidth="1"/>
    <col min="6" max="6" width="18" style="56" customWidth="1"/>
    <col min="7" max="26" width="8.7265625" style="10"/>
    <col min="27" max="16384" width="8.7265625" style="1"/>
  </cols>
  <sheetData>
    <row r="1" spans="1:26" ht="42" x14ac:dyDescent="0.3">
      <c r="A1" s="157" t="s">
        <v>3396</v>
      </c>
      <c r="B1" s="158" t="s">
        <v>3397</v>
      </c>
      <c r="C1" s="158" t="s">
        <v>3398</v>
      </c>
      <c r="D1" s="158" t="s">
        <v>3399</v>
      </c>
      <c r="E1" s="158" t="s">
        <v>3400</v>
      </c>
      <c r="F1" s="158" t="s">
        <v>3401</v>
      </c>
    </row>
    <row r="2" spans="1:26" x14ac:dyDescent="0.3">
      <c r="A2" s="159" t="s">
        <v>3402</v>
      </c>
      <c r="B2" s="160"/>
      <c r="C2" s="160"/>
      <c r="D2" s="160"/>
      <c r="E2" s="160"/>
      <c r="F2" s="161"/>
    </row>
    <row r="3" spans="1:26" s="99" customFormat="1" x14ac:dyDescent="0.35">
      <c r="A3" s="43" t="s">
        <v>33</v>
      </c>
      <c r="B3" s="43" t="s">
        <v>2611</v>
      </c>
      <c r="C3" s="162">
        <v>2000</v>
      </c>
      <c r="D3" s="162" t="s">
        <v>3403</v>
      </c>
      <c r="E3" s="43" t="s">
        <v>3404</v>
      </c>
      <c r="F3" s="43" t="s">
        <v>2335</v>
      </c>
      <c r="G3" s="98"/>
      <c r="H3" s="98"/>
      <c r="I3" s="98"/>
      <c r="J3" s="98"/>
      <c r="K3" s="98"/>
      <c r="L3" s="98"/>
      <c r="M3" s="98"/>
      <c r="N3" s="98"/>
      <c r="O3" s="98"/>
      <c r="P3" s="98"/>
      <c r="Q3" s="98"/>
      <c r="R3" s="98"/>
      <c r="S3" s="98"/>
      <c r="T3" s="98"/>
      <c r="U3" s="98"/>
      <c r="V3" s="98"/>
      <c r="W3" s="98"/>
      <c r="X3" s="98"/>
      <c r="Y3" s="98"/>
      <c r="Z3" s="98"/>
    </row>
    <row r="4" spans="1:26" s="99" customFormat="1" x14ac:dyDescent="0.35">
      <c r="A4" s="43" t="s">
        <v>58</v>
      </c>
      <c r="B4" s="43" t="s">
        <v>2365</v>
      </c>
      <c r="C4" s="162" t="s">
        <v>1154</v>
      </c>
      <c r="D4" s="162" t="s">
        <v>3405</v>
      </c>
      <c r="E4" s="43" t="s">
        <v>3406</v>
      </c>
      <c r="F4" s="43" t="s">
        <v>2335</v>
      </c>
      <c r="G4" s="98"/>
      <c r="H4" s="98"/>
      <c r="I4" s="98"/>
      <c r="J4" s="98"/>
      <c r="K4" s="98"/>
      <c r="L4" s="98"/>
      <c r="M4" s="98"/>
      <c r="N4" s="98"/>
      <c r="O4" s="98"/>
      <c r="P4" s="98"/>
      <c r="Q4" s="98"/>
      <c r="R4" s="98"/>
      <c r="S4" s="98"/>
      <c r="T4" s="98"/>
      <c r="U4" s="98"/>
      <c r="V4" s="98"/>
      <c r="W4" s="98"/>
      <c r="X4" s="98"/>
      <c r="Y4" s="98"/>
      <c r="Z4" s="98"/>
    </row>
    <row r="5" spans="1:26" s="99" customFormat="1" x14ac:dyDescent="0.35">
      <c r="A5" s="43" t="s">
        <v>1545</v>
      </c>
      <c r="B5" s="43" t="s">
        <v>2365</v>
      </c>
      <c r="C5" s="162">
        <v>0</v>
      </c>
      <c r="D5" s="162">
        <v>1</v>
      </c>
      <c r="E5" s="43" t="s">
        <v>3406</v>
      </c>
      <c r="F5" s="43" t="s">
        <v>2335</v>
      </c>
      <c r="G5" s="98"/>
      <c r="H5" s="98"/>
      <c r="I5" s="98"/>
      <c r="J5" s="98"/>
      <c r="K5" s="98"/>
      <c r="L5" s="98"/>
      <c r="M5" s="98"/>
      <c r="N5" s="98"/>
      <c r="O5" s="98"/>
      <c r="P5" s="98"/>
      <c r="Q5" s="98"/>
      <c r="R5" s="98"/>
      <c r="S5" s="98"/>
      <c r="T5" s="98"/>
      <c r="U5" s="98"/>
      <c r="V5" s="98"/>
      <c r="W5" s="98"/>
      <c r="X5" s="98"/>
      <c r="Y5" s="98"/>
      <c r="Z5" s="98"/>
    </row>
    <row r="6" spans="1:26" s="99" customFormat="1" x14ac:dyDescent="0.35">
      <c r="A6" s="43" t="s">
        <v>67</v>
      </c>
      <c r="B6" s="43" t="s">
        <v>2365</v>
      </c>
      <c r="C6" s="162">
        <v>1</v>
      </c>
      <c r="D6" s="162">
        <v>0</v>
      </c>
      <c r="E6" s="43" t="s">
        <v>3406</v>
      </c>
      <c r="F6" s="43" t="s">
        <v>2335</v>
      </c>
      <c r="G6" s="98"/>
      <c r="H6" s="98"/>
      <c r="I6" s="98"/>
      <c r="J6" s="98"/>
      <c r="K6" s="98"/>
      <c r="L6" s="98"/>
      <c r="M6" s="98"/>
      <c r="N6" s="98"/>
      <c r="O6" s="98"/>
      <c r="P6" s="98"/>
      <c r="Q6" s="98"/>
      <c r="R6" s="98"/>
      <c r="S6" s="98"/>
      <c r="T6" s="98"/>
      <c r="U6" s="98"/>
      <c r="V6" s="98"/>
      <c r="W6" s="98"/>
      <c r="X6" s="98"/>
      <c r="Y6" s="98"/>
      <c r="Z6" s="98"/>
    </row>
    <row r="7" spans="1:26" s="99" customFormat="1" x14ac:dyDescent="0.35">
      <c r="A7" s="43" t="s">
        <v>58</v>
      </c>
      <c r="B7" s="43" t="s">
        <v>2393</v>
      </c>
      <c r="C7" s="162" t="s">
        <v>2396</v>
      </c>
      <c r="D7" s="162" t="s">
        <v>2827</v>
      </c>
      <c r="E7" s="43" t="s">
        <v>3406</v>
      </c>
      <c r="F7" s="43" t="s">
        <v>2335</v>
      </c>
      <c r="G7" s="98"/>
      <c r="H7" s="98"/>
      <c r="I7" s="98"/>
      <c r="J7" s="98"/>
      <c r="K7" s="98"/>
      <c r="L7" s="98"/>
      <c r="M7" s="98"/>
      <c r="N7" s="98"/>
      <c r="O7" s="98"/>
      <c r="P7" s="98"/>
      <c r="Q7" s="98"/>
      <c r="R7" s="98"/>
      <c r="S7" s="98"/>
      <c r="T7" s="98"/>
      <c r="U7" s="98"/>
      <c r="V7" s="98"/>
      <c r="W7" s="98"/>
      <c r="X7" s="98"/>
      <c r="Y7" s="98"/>
      <c r="Z7" s="98"/>
    </row>
    <row r="8" spans="1:26" s="99" customFormat="1" x14ac:dyDescent="0.35">
      <c r="A8" s="43" t="s">
        <v>67</v>
      </c>
      <c r="B8" s="43" t="s">
        <v>2393</v>
      </c>
      <c r="C8" s="162">
        <v>1</v>
      </c>
      <c r="D8" s="162">
        <v>0</v>
      </c>
      <c r="E8" s="43" t="s">
        <v>3406</v>
      </c>
      <c r="F8" s="43" t="s">
        <v>2335</v>
      </c>
      <c r="G8" s="98"/>
      <c r="H8" s="98"/>
      <c r="I8" s="98"/>
      <c r="J8" s="98"/>
      <c r="K8" s="98"/>
      <c r="L8" s="98"/>
      <c r="M8" s="98"/>
      <c r="N8" s="98"/>
      <c r="O8" s="98"/>
      <c r="P8" s="98"/>
      <c r="Q8" s="98"/>
      <c r="R8" s="98"/>
      <c r="S8" s="98"/>
      <c r="T8" s="98"/>
      <c r="U8" s="98"/>
      <c r="V8" s="98"/>
      <c r="W8" s="98"/>
      <c r="X8" s="98"/>
      <c r="Y8" s="98"/>
      <c r="Z8" s="98"/>
    </row>
    <row r="9" spans="1:26" s="99" customFormat="1" x14ac:dyDescent="0.35">
      <c r="A9" s="43" t="s">
        <v>58</v>
      </c>
      <c r="B9" s="43" t="s">
        <v>2417</v>
      </c>
      <c r="C9" s="162" t="s">
        <v>2396</v>
      </c>
      <c r="D9" s="162" t="s">
        <v>2827</v>
      </c>
      <c r="E9" s="43" t="s">
        <v>3406</v>
      </c>
      <c r="F9" s="43" t="s">
        <v>2335</v>
      </c>
      <c r="G9" s="98"/>
      <c r="H9" s="98"/>
      <c r="I9" s="98"/>
      <c r="J9" s="98"/>
      <c r="K9" s="98"/>
      <c r="L9" s="98"/>
      <c r="M9" s="98"/>
      <c r="N9" s="98"/>
      <c r="O9" s="98"/>
      <c r="P9" s="98"/>
      <c r="Q9" s="98"/>
      <c r="R9" s="98"/>
      <c r="S9" s="98"/>
      <c r="T9" s="98"/>
      <c r="U9" s="98"/>
      <c r="V9" s="98"/>
      <c r="W9" s="98"/>
      <c r="X9" s="98"/>
      <c r="Y9" s="98"/>
      <c r="Z9" s="98"/>
    </row>
    <row r="10" spans="1:26" s="99" customFormat="1" x14ac:dyDescent="0.35">
      <c r="A10" s="43" t="s">
        <v>58</v>
      </c>
      <c r="B10" s="43" t="s">
        <v>2423</v>
      </c>
      <c r="C10" s="162" t="s">
        <v>2396</v>
      </c>
      <c r="D10" s="162" t="s">
        <v>2827</v>
      </c>
      <c r="E10" s="43" t="s">
        <v>3406</v>
      </c>
      <c r="F10" s="43" t="s">
        <v>2335</v>
      </c>
      <c r="G10" s="98"/>
      <c r="H10" s="98"/>
      <c r="I10" s="98"/>
      <c r="J10" s="98"/>
      <c r="K10" s="98"/>
      <c r="L10" s="98"/>
      <c r="M10" s="98"/>
      <c r="N10" s="98"/>
      <c r="O10" s="98"/>
      <c r="P10" s="98"/>
      <c r="Q10" s="98"/>
      <c r="R10" s="98"/>
      <c r="S10" s="98"/>
      <c r="T10" s="98"/>
      <c r="U10" s="98"/>
      <c r="V10" s="98"/>
      <c r="W10" s="98"/>
      <c r="X10" s="98"/>
      <c r="Y10" s="98"/>
      <c r="Z10" s="98"/>
    </row>
    <row r="11" spans="1:26" s="99" customFormat="1" x14ac:dyDescent="0.35">
      <c r="A11" s="43" t="s">
        <v>58</v>
      </c>
      <c r="B11" s="43" t="s">
        <v>2429</v>
      </c>
      <c r="C11" s="162" t="s">
        <v>2396</v>
      </c>
      <c r="D11" s="162" t="s">
        <v>2827</v>
      </c>
      <c r="E11" s="43" t="s">
        <v>3406</v>
      </c>
      <c r="F11" s="43" t="s">
        <v>2335</v>
      </c>
      <c r="G11" s="98"/>
      <c r="H11" s="98"/>
      <c r="I11" s="98"/>
      <c r="J11" s="98"/>
      <c r="K11" s="98"/>
      <c r="L11" s="98"/>
      <c r="M11" s="98"/>
      <c r="N11" s="98"/>
      <c r="O11" s="98"/>
      <c r="P11" s="98"/>
      <c r="Q11" s="98"/>
      <c r="R11" s="98"/>
      <c r="S11" s="98"/>
      <c r="T11" s="98"/>
      <c r="U11" s="98"/>
      <c r="V11" s="98"/>
      <c r="W11" s="98"/>
      <c r="X11" s="98"/>
      <c r="Y11" s="98"/>
      <c r="Z11" s="98"/>
    </row>
    <row r="12" spans="1:26" s="99" customFormat="1" x14ac:dyDescent="0.35">
      <c r="A12" s="43" t="s">
        <v>58</v>
      </c>
      <c r="B12" s="43" t="s">
        <v>2434</v>
      </c>
      <c r="C12" s="162" t="s">
        <v>2396</v>
      </c>
      <c r="D12" s="162" t="s">
        <v>2827</v>
      </c>
      <c r="E12" s="43" t="s">
        <v>3406</v>
      </c>
      <c r="F12" s="43" t="s">
        <v>2335</v>
      </c>
      <c r="G12" s="98"/>
      <c r="H12" s="98"/>
      <c r="I12" s="98"/>
      <c r="J12" s="98"/>
      <c r="K12" s="98"/>
      <c r="L12" s="98"/>
      <c r="M12" s="98"/>
      <c r="N12" s="98"/>
      <c r="O12" s="98"/>
      <c r="P12" s="98"/>
      <c r="Q12" s="98"/>
      <c r="R12" s="98"/>
      <c r="S12" s="98"/>
      <c r="T12" s="98"/>
      <c r="U12" s="98"/>
      <c r="V12" s="98"/>
      <c r="W12" s="98"/>
      <c r="X12" s="98"/>
      <c r="Y12" s="98"/>
      <c r="Z12" s="98"/>
    </row>
    <row r="13" spans="1:26" s="99" customFormat="1" x14ac:dyDescent="0.35">
      <c r="A13" s="43" t="s">
        <v>58</v>
      </c>
      <c r="B13" s="43" t="s">
        <v>2467</v>
      </c>
      <c r="C13" s="162" t="s">
        <v>2396</v>
      </c>
      <c r="D13" s="162" t="s">
        <v>2827</v>
      </c>
      <c r="E13" s="43" t="s">
        <v>3406</v>
      </c>
      <c r="F13" s="43" t="s">
        <v>2335</v>
      </c>
      <c r="G13" s="98"/>
      <c r="H13" s="98"/>
      <c r="I13" s="98"/>
      <c r="J13" s="98"/>
      <c r="K13" s="98"/>
      <c r="L13" s="98"/>
      <c r="M13" s="98"/>
      <c r="N13" s="98"/>
      <c r="O13" s="98"/>
      <c r="P13" s="98"/>
      <c r="Q13" s="98"/>
      <c r="R13" s="98"/>
      <c r="S13" s="98"/>
      <c r="T13" s="98"/>
      <c r="U13" s="98"/>
      <c r="V13" s="98"/>
      <c r="W13" s="98"/>
      <c r="X13" s="98"/>
      <c r="Y13" s="98"/>
      <c r="Z13" s="98"/>
    </row>
    <row r="14" spans="1:26" s="99" customFormat="1" x14ac:dyDescent="0.35">
      <c r="A14" s="43" t="s">
        <v>67</v>
      </c>
      <c r="B14" s="43" t="s">
        <v>2417</v>
      </c>
      <c r="C14" s="162">
        <v>1</v>
      </c>
      <c r="D14" s="162">
        <v>0</v>
      </c>
      <c r="E14" s="43" t="s">
        <v>3406</v>
      </c>
      <c r="F14" s="43" t="s">
        <v>2335</v>
      </c>
      <c r="G14" s="98"/>
      <c r="H14" s="98"/>
      <c r="I14" s="98"/>
      <c r="J14" s="98"/>
      <c r="K14" s="98"/>
      <c r="L14" s="98"/>
      <c r="M14" s="98"/>
      <c r="N14" s="98"/>
      <c r="O14" s="98"/>
      <c r="P14" s="98"/>
      <c r="Q14" s="98"/>
      <c r="R14" s="98"/>
      <c r="S14" s="98"/>
      <c r="T14" s="98"/>
      <c r="U14" s="98"/>
      <c r="V14" s="98"/>
      <c r="W14" s="98"/>
      <c r="X14" s="98"/>
      <c r="Y14" s="98"/>
      <c r="Z14" s="98"/>
    </row>
    <row r="15" spans="1:26" s="99" customFormat="1" x14ac:dyDescent="0.35">
      <c r="A15" s="43" t="s">
        <v>67</v>
      </c>
      <c r="B15" s="43" t="s">
        <v>2423</v>
      </c>
      <c r="C15" s="162">
        <v>1</v>
      </c>
      <c r="D15" s="162">
        <v>0</v>
      </c>
      <c r="E15" s="43" t="s">
        <v>3406</v>
      </c>
      <c r="F15" s="43" t="s">
        <v>2335</v>
      </c>
      <c r="G15" s="98"/>
      <c r="H15" s="98"/>
      <c r="I15" s="98"/>
      <c r="J15" s="98"/>
      <c r="K15" s="98"/>
      <c r="L15" s="98"/>
      <c r="M15" s="98"/>
      <c r="N15" s="98"/>
      <c r="O15" s="98"/>
      <c r="P15" s="98"/>
      <c r="Q15" s="98"/>
      <c r="R15" s="98"/>
      <c r="S15" s="98"/>
      <c r="T15" s="98"/>
      <c r="U15" s="98"/>
      <c r="V15" s="98"/>
      <c r="W15" s="98"/>
      <c r="X15" s="98"/>
      <c r="Y15" s="98"/>
      <c r="Z15" s="98"/>
    </row>
    <row r="16" spans="1:26" s="99" customFormat="1" x14ac:dyDescent="0.35">
      <c r="A16" s="43" t="s">
        <v>67</v>
      </c>
      <c r="B16" s="43" t="s">
        <v>2429</v>
      </c>
      <c r="C16" s="162">
        <v>1</v>
      </c>
      <c r="D16" s="162">
        <v>0</v>
      </c>
      <c r="E16" s="43" t="s">
        <v>3406</v>
      </c>
      <c r="F16" s="43" t="s">
        <v>2335</v>
      </c>
      <c r="G16" s="98"/>
      <c r="H16" s="98"/>
      <c r="I16" s="98"/>
      <c r="J16" s="98"/>
      <c r="K16" s="98"/>
      <c r="L16" s="98"/>
      <c r="M16" s="98"/>
      <c r="N16" s="98"/>
      <c r="O16" s="98"/>
      <c r="P16" s="98"/>
      <c r="Q16" s="98"/>
      <c r="R16" s="98"/>
      <c r="S16" s="98"/>
      <c r="T16" s="98"/>
      <c r="U16" s="98"/>
      <c r="V16" s="98"/>
      <c r="W16" s="98"/>
      <c r="X16" s="98"/>
      <c r="Y16" s="98"/>
      <c r="Z16" s="98"/>
    </row>
    <row r="17" spans="1:26" s="99" customFormat="1" x14ac:dyDescent="0.35">
      <c r="A17" s="43" t="s">
        <v>67</v>
      </c>
      <c r="B17" s="43" t="s">
        <v>2434</v>
      </c>
      <c r="C17" s="162">
        <v>1</v>
      </c>
      <c r="D17" s="162">
        <v>0</v>
      </c>
      <c r="E17" s="43" t="s">
        <v>3406</v>
      </c>
      <c r="F17" s="43" t="s">
        <v>2335</v>
      </c>
      <c r="G17" s="98"/>
      <c r="H17" s="98"/>
      <c r="I17" s="98"/>
      <c r="J17" s="98"/>
      <c r="K17" s="98"/>
      <c r="L17" s="98"/>
      <c r="M17" s="98"/>
      <c r="N17" s="98"/>
      <c r="O17" s="98"/>
      <c r="P17" s="98"/>
      <c r="Q17" s="98"/>
      <c r="R17" s="98"/>
      <c r="S17" s="98"/>
      <c r="T17" s="98"/>
      <c r="U17" s="98"/>
      <c r="V17" s="98"/>
      <c r="W17" s="98"/>
      <c r="X17" s="98"/>
      <c r="Y17" s="98"/>
      <c r="Z17" s="98"/>
    </row>
    <row r="18" spans="1:26" s="99" customFormat="1" x14ac:dyDescent="0.35">
      <c r="A18" s="43" t="s">
        <v>67</v>
      </c>
      <c r="B18" s="43" t="s">
        <v>2467</v>
      </c>
      <c r="C18" s="162">
        <v>1</v>
      </c>
      <c r="D18" s="162">
        <v>0</v>
      </c>
      <c r="E18" s="43" t="s">
        <v>3406</v>
      </c>
      <c r="F18" s="43" t="s">
        <v>2335</v>
      </c>
      <c r="G18" s="98"/>
      <c r="H18" s="98"/>
      <c r="I18" s="98"/>
      <c r="J18" s="98"/>
      <c r="K18" s="98"/>
      <c r="L18" s="98"/>
      <c r="M18" s="98"/>
      <c r="N18" s="98"/>
      <c r="O18" s="98"/>
      <c r="P18" s="98"/>
      <c r="Q18" s="98"/>
      <c r="R18" s="98"/>
      <c r="S18" s="98"/>
      <c r="T18" s="98"/>
      <c r="U18" s="98"/>
      <c r="V18" s="98"/>
      <c r="W18" s="98"/>
      <c r="X18" s="98"/>
      <c r="Y18" s="98"/>
      <c r="Z18" s="98"/>
    </row>
    <row r="19" spans="1:26" s="99" customFormat="1" x14ac:dyDescent="0.35">
      <c r="A19" s="43" t="s">
        <v>49</v>
      </c>
      <c r="B19" s="43" t="s">
        <v>2393</v>
      </c>
      <c r="C19" s="162" t="s">
        <v>1154</v>
      </c>
      <c r="D19" s="162" t="s">
        <v>2757</v>
      </c>
      <c r="E19" s="43" t="s">
        <v>3406</v>
      </c>
      <c r="F19" s="43" t="s">
        <v>2335</v>
      </c>
      <c r="G19" s="98"/>
      <c r="H19" s="98"/>
      <c r="I19" s="98"/>
      <c r="J19" s="98"/>
      <c r="K19" s="98"/>
      <c r="L19" s="98"/>
      <c r="M19" s="98"/>
      <c r="N19" s="98"/>
      <c r="O19" s="98"/>
      <c r="P19" s="98"/>
      <c r="Q19" s="98"/>
      <c r="R19" s="98"/>
      <c r="S19" s="98"/>
      <c r="T19" s="98"/>
      <c r="U19" s="98"/>
      <c r="V19" s="98"/>
      <c r="W19" s="98"/>
      <c r="X19" s="98"/>
      <c r="Y19" s="98"/>
      <c r="Z19" s="98"/>
    </row>
    <row r="20" spans="1:26" s="99" customFormat="1" x14ac:dyDescent="0.35">
      <c r="A20" s="43" t="s">
        <v>54</v>
      </c>
      <c r="B20" s="43" t="s">
        <v>2393</v>
      </c>
      <c r="C20" s="162">
        <v>0</v>
      </c>
      <c r="D20" s="162">
        <v>1</v>
      </c>
      <c r="E20" s="43" t="s">
        <v>3406</v>
      </c>
      <c r="F20" s="43" t="s">
        <v>2335</v>
      </c>
      <c r="G20" s="98"/>
      <c r="H20" s="98"/>
      <c r="I20" s="98"/>
      <c r="J20" s="98"/>
      <c r="K20" s="98"/>
      <c r="L20" s="98"/>
      <c r="M20" s="98"/>
      <c r="N20" s="98"/>
      <c r="O20" s="98"/>
      <c r="P20" s="98"/>
      <c r="Q20" s="98"/>
      <c r="R20" s="98"/>
      <c r="S20" s="98"/>
      <c r="T20" s="98"/>
      <c r="U20" s="98"/>
      <c r="V20" s="98"/>
      <c r="W20" s="98"/>
      <c r="X20" s="98"/>
      <c r="Y20" s="98"/>
      <c r="Z20" s="98"/>
    </row>
    <row r="21" spans="1:26" s="99" customFormat="1" x14ac:dyDescent="0.35">
      <c r="A21" s="43" t="s">
        <v>56</v>
      </c>
      <c r="B21" s="43" t="s">
        <v>2393</v>
      </c>
      <c r="C21" s="162">
        <v>1</v>
      </c>
      <c r="D21" s="162">
        <v>0</v>
      </c>
      <c r="E21" s="43" t="s">
        <v>3406</v>
      </c>
      <c r="F21" s="43" t="s">
        <v>2335</v>
      </c>
      <c r="G21" s="98"/>
      <c r="H21" s="98"/>
      <c r="I21" s="98"/>
      <c r="J21" s="98"/>
      <c r="K21" s="98"/>
      <c r="L21" s="98"/>
      <c r="M21" s="98"/>
      <c r="N21" s="98"/>
      <c r="O21" s="98"/>
      <c r="P21" s="98"/>
      <c r="Q21" s="98"/>
      <c r="R21" s="98"/>
      <c r="S21" s="98"/>
      <c r="T21" s="98"/>
      <c r="U21" s="98"/>
      <c r="V21" s="98"/>
      <c r="W21" s="98"/>
      <c r="X21" s="98"/>
      <c r="Y21" s="98"/>
      <c r="Z21" s="98"/>
    </row>
    <row r="22" spans="1:26" s="99" customFormat="1" x14ac:dyDescent="0.35">
      <c r="A22" s="43" t="s">
        <v>57</v>
      </c>
      <c r="B22" s="43" t="s">
        <v>2393</v>
      </c>
      <c r="C22" s="162" t="s">
        <v>3407</v>
      </c>
      <c r="D22" s="162" t="s">
        <v>3403</v>
      </c>
      <c r="E22" s="43" t="s">
        <v>3406</v>
      </c>
      <c r="F22" s="43" t="s">
        <v>2335</v>
      </c>
      <c r="G22" s="98"/>
      <c r="H22" s="98"/>
      <c r="I22" s="98"/>
      <c r="J22" s="98"/>
      <c r="K22" s="98"/>
      <c r="L22" s="98"/>
      <c r="M22" s="98"/>
      <c r="N22" s="98"/>
      <c r="O22" s="98"/>
      <c r="P22" s="98"/>
      <c r="Q22" s="98"/>
      <c r="R22" s="98"/>
      <c r="S22" s="98"/>
      <c r="T22" s="98"/>
      <c r="U22" s="98"/>
      <c r="V22" s="98"/>
      <c r="W22" s="98"/>
      <c r="X22" s="98"/>
      <c r="Y22" s="98"/>
      <c r="Z22" s="98"/>
    </row>
    <row r="23" spans="1:26" s="99" customFormat="1" x14ac:dyDescent="0.35">
      <c r="A23" s="43" t="s">
        <v>109</v>
      </c>
      <c r="B23" s="43" t="s">
        <v>2352</v>
      </c>
      <c r="C23" s="162" t="s">
        <v>1154</v>
      </c>
      <c r="D23" s="162" t="s">
        <v>1162</v>
      </c>
      <c r="E23" s="43" t="s">
        <v>3408</v>
      </c>
      <c r="F23" s="43" t="s">
        <v>2335</v>
      </c>
      <c r="G23" s="98"/>
      <c r="H23" s="98"/>
      <c r="I23" s="98"/>
      <c r="J23" s="98"/>
      <c r="K23" s="98"/>
      <c r="L23" s="98"/>
      <c r="M23" s="98"/>
      <c r="N23" s="98"/>
      <c r="O23" s="98"/>
      <c r="P23" s="98"/>
      <c r="Q23" s="98"/>
      <c r="R23" s="98"/>
      <c r="S23" s="98"/>
      <c r="T23" s="98"/>
      <c r="U23" s="98"/>
      <c r="V23" s="98"/>
      <c r="W23" s="98"/>
      <c r="X23" s="98"/>
      <c r="Y23" s="98"/>
      <c r="Z23" s="98"/>
    </row>
    <row r="24" spans="1:26" s="99" customFormat="1" x14ac:dyDescent="0.35">
      <c r="A24" s="43" t="s">
        <v>109</v>
      </c>
      <c r="B24" s="43" t="s">
        <v>2365</v>
      </c>
      <c r="C24" s="162" t="s">
        <v>1154</v>
      </c>
      <c r="D24" s="162" t="s">
        <v>1162</v>
      </c>
      <c r="E24" s="43" t="s">
        <v>3408</v>
      </c>
      <c r="F24" s="43" t="s">
        <v>2335</v>
      </c>
      <c r="G24" s="98"/>
      <c r="H24" s="98"/>
      <c r="I24" s="98"/>
      <c r="J24" s="98"/>
      <c r="K24" s="98"/>
      <c r="L24" s="98"/>
      <c r="M24" s="98"/>
      <c r="N24" s="98"/>
      <c r="O24" s="98"/>
      <c r="P24" s="98"/>
      <c r="Q24" s="98"/>
      <c r="R24" s="98"/>
      <c r="S24" s="98"/>
      <c r="T24" s="98"/>
      <c r="U24" s="98"/>
      <c r="V24" s="98"/>
      <c r="W24" s="98"/>
      <c r="X24" s="98"/>
      <c r="Y24" s="98"/>
      <c r="Z24" s="98"/>
    </row>
    <row r="25" spans="1:26" s="99" customFormat="1" x14ac:dyDescent="0.35">
      <c r="A25" s="43" t="s">
        <v>109</v>
      </c>
      <c r="B25" s="43" t="s">
        <v>2393</v>
      </c>
      <c r="C25" s="162" t="s">
        <v>1154</v>
      </c>
      <c r="D25" s="162" t="s">
        <v>1162</v>
      </c>
      <c r="E25" s="43" t="s">
        <v>3408</v>
      </c>
      <c r="F25" s="43" t="s">
        <v>2335</v>
      </c>
      <c r="G25" s="98"/>
      <c r="H25" s="98"/>
      <c r="I25" s="98"/>
      <c r="J25" s="98"/>
      <c r="K25" s="98"/>
      <c r="L25" s="98"/>
      <c r="M25" s="98"/>
      <c r="N25" s="98"/>
      <c r="O25" s="98"/>
      <c r="P25" s="98"/>
      <c r="Q25" s="98"/>
      <c r="R25" s="98"/>
      <c r="S25" s="98"/>
      <c r="T25" s="98"/>
      <c r="U25" s="98"/>
      <c r="V25" s="98"/>
      <c r="W25" s="98"/>
      <c r="X25" s="98"/>
      <c r="Y25" s="98"/>
      <c r="Z25" s="98"/>
    </row>
    <row r="26" spans="1:26" s="99" customFormat="1" x14ac:dyDescent="0.35">
      <c r="A26" s="43" t="s">
        <v>109</v>
      </c>
      <c r="B26" s="43" t="s">
        <v>2399</v>
      </c>
      <c r="C26" s="162" t="s">
        <v>1154</v>
      </c>
      <c r="D26" s="162" t="s">
        <v>1162</v>
      </c>
      <c r="E26" s="43" t="s">
        <v>3408</v>
      </c>
      <c r="F26" s="43" t="s">
        <v>2335</v>
      </c>
      <c r="G26" s="98"/>
      <c r="H26" s="98"/>
      <c r="I26" s="98"/>
      <c r="J26" s="98"/>
      <c r="K26" s="98"/>
      <c r="L26" s="98"/>
      <c r="M26" s="98"/>
      <c r="N26" s="98"/>
      <c r="O26" s="98"/>
      <c r="P26" s="98"/>
      <c r="Q26" s="98"/>
      <c r="R26" s="98"/>
      <c r="S26" s="98"/>
      <c r="T26" s="98"/>
      <c r="U26" s="98"/>
      <c r="V26" s="98"/>
      <c r="W26" s="98"/>
      <c r="X26" s="98"/>
      <c r="Y26" s="98"/>
      <c r="Z26" s="98"/>
    </row>
    <row r="27" spans="1:26" s="99" customFormat="1" x14ac:dyDescent="0.35">
      <c r="A27" s="43" t="s">
        <v>109</v>
      </c>
      <c r="B27" s="43" t="s">
        <v>2417</v>
      </c>
      <c r="C27" s="162" t="s">
        <v>1154</v>
      </c>
      <c r="D27" s="162" t="s">
        <v>1162</v>
      </c>
      <c r="E27" s="43" t="s">
        <v>3408</v>
      </c>
      <c r="F27" s="43" t="s">
        <v>2335</v>
      </c>
      <c r="G27" s="98"/>
      <c r="H27" s="98"/>
      <c r="I27" s="98"/>
      <c r="J27" s="98"/>
      <c r="K27" s="98"/>
      <c r="L27" s="98"/>
      <c r="M27" s="98"/>
      <c r="N27" s="98"/>
      <c r="O27" s="98"/>
      <c r="P27" s="98"/>
      <c r="Q27" s="98"/>
      <c r="R27" s="98"/>
      <c r="S27" s="98"/>
      <c r="T27" s="98"/>
      <c r="U27" s="98"/>
      <c r="V27" s="98"/>
      <c r="W27" s="98"/>
      <c r="X27" s="98"/>
      <c r="Y27" s="98"/>
      <c r="Z27" s="98"/>
    </row>
    <row r="28" spans="1:26" s="99" customFormat="1" x14ac:dyDescent="0.35">
      <c r="A28" s="43" t="s">
        <v>109</v>
      </c>
      <c r="B28" s="43" t="s">
        <v>2423</v>
      </c>
      <c r="C28" s="162" t="s">
        <v>1154</v>
      </c>
      <c r="D28" s="162" t="s">
        <v>1162</v>
      </c>
      <c r="E28" s="43" t="s">
        <v>3408</v>
      </c>
      <c r="F28" s="43" t="s">
        <v>2335</v>
      </c>
      <c r="G28" s="98"/>
      <c r="H28" s="98"/>
      <c r="I28" s="98"/>
      <c r="J28" s="98"/>
      <c r="K28" s="98"/>
      <c r="L28" s="98"/>
      <c r="M28" s="98"/>
      <c r="N28" s="98"/>
      <c r="O28" s="98"/>
      <c r="P28" s="98"/>
      <c r="Q28" s="98"/>
      <c r="R28" s="98"/>
      <c r="S28" s="98"/>
      <c r="T28" s="98"/>
      <c r="U28" s="98"/>
      <c r="V28" s="98"/>
      <c r="W28" s="98"/>
      <c r="X28" s="98"/>
      <c r="Y28" s="98"/>
      <c r="Z28" s="98"/>
    </row>
    <row r="29" spans="1:26" s="99" customFormat="1" x14ac:dyDescent="0.35">
      <c r="A29" s="43" t="s">
        <v>109</v>
      </c>
      <c r="B29" s="43" t="s">
        <v>2434</v>
      </c>
      <c r="C29" s="162" t="s">
        <v>1154</v>
      </c>
      <c r="D29" s="162" t="s">
        <v>1162</v>
      </c>
      <c r="E29" s="43" t="s">
        <v>3408</v>
      </c>
      <c r="F29" s="43" t="s">
        <v>2335</v>
      </c>
      <c r="G29" s="98"/>
      <c r="H29" s="98"/>
      <c r="I29" s="98"/>
      <c r="J29" s="98"/>
      <c r="K29" s="98"/>
      <c r="L29" s="98"/>
      <c r="M29" s="98"/>
      <c r="N29" s="98"/>
      <c r="O29" s="98"/>
      <c r="P29" s="98"/>
      <c r="Q29" s="98"/>
      <c r="R29" s="98"/>
      <c r="S29" s="98"/>
      <c r="T29" s="98"/>
      <c r="U29" s="98"/>
      <c r="V29" s="98"/>
      <c r="W29" s="98"/>
      <c r="X29" s="98"/>
      <c r="Y29" s="98"/>
      <c r="Z29" s="98"/>
    </row>
    <row r="30" spans="1:26" s="99" customFormat="1" x14ac:dyDescent="0.35">
      <c r="A30" s="43" t="s">
        <v>113</v>
      </c>
      <c r="B30" s="43" t="s">
        <v>2352</v>
      </c>
      <c r="C30" s="162">
        <v>1</v>
      </c>
      <c r="D30" s="162">
        <v>0</v>
      </c>
      <c r="E30" s="43" t="s">
        <v>3408</v>
      </c>
      <c r="F30" s="43" t="s">
        <v>2335</v>
      </c>
      <c r="G30" s="98"/>
      <c r="H30" s="98"/>
      <c r="I30" s="98"/>
      <c r="J30" s="98"/>
      <c r="K30" s="98"/>
      <c r="L30" s="98"/>
      <c r="M30" s="98"/>
      <c r="N30" s="98"/>
      <c r="O30" s="98"/>
      <c r="P30" s="98"/>
      <c r="Q30" s="98"/>
      <c r="R30" s="98"/>
      <c r="S30" s="98"/>
      <c r="T30" s="98"/>
      <c r="U30" s="98"/>
      <c r="V30" s="98"/>
      <c r="W30" s="98"/>
      <c r="X30" s="98"/>
      <c r="Y30" s="98"/>
      <c r="Z30" s="98"/>
    </row>
    <row r="31" spans="1:26" s="99" customFormat="1" x14ac:dyDescent="0.35">
      <c r="A31" s="43" t="s">
        <v>113</v>
      </c>
      <c r="B31" s="43" t="s">
        <v>2365</v>
      </c>
      <c r="C31" s="162">
        <v>1</v>
      </c>
      <c r="D31" s="162">
        <v>0</v>
      </c>
      <c r="E31" s="43" t="s">
        <v>3408</v>
      </c>
      <c r="F31" s="43" t="s">
        <v>2335</v>
      </c>
      <c r="G31" s="98"/>
      <c r="H31" s="98"/>
      <c r="I31" s="98"/>
      <c r="J31" s="98"/>
      <c r="K31" s="98"/>
      <c r="L31" s="98"/>
      <c r="M31" s="98"/>
      <c r="N31" s="98"/>
      <c r="O31" s="98"/>
      <c r="P31" s="98"/>
      <c r="Q31" s="98"/>
      <c r="R31" s="98"/>
      <c r="S31" s="98"/>
      <c r="T31" s="98"/>
      <c r="U31" s="98"/>
      <c r="V31" s="98"/>
      <c r="W31" s="98"/>
      <c r="X31" s="98"/>
      <c r="Y31" s="98"/>
      <c r="Z31" s="98"/>
    </row>
    <row r="32" spans="1:26" s="99" customFormat="1" x14ac:dyDescent="0.35">
      <c r="A32" s="43" t="s">
        <v>113</v>
      </c>
      <c r="B32" s="43" t="s">
        <v>2393</v>
      </c>
      <c r="C32" s="162">
        <v>1</v>
      </c>
      <c r="D32" s="162">
        <v>0</v>
      </c>
      <c r="E32" s="43" t="s">
        <v>3408</v>
      </c>
      <c r="F32" s="43" t="s">
        <v>2335</v>
      </c>
      <c r="G32" s="98"/>
      <c r="H32" s="98"/>
      <c r="I32" s="98"/>
      <c r="J32" s="98"/>
      <c r="K32" s="98"/>
      <c r="L32" s="98"/>
      <c r="M32" s="98"/>
      <c r="N32" s="98"/>
      <c r="O32" s="98"/>
      <c r="P32" s="98"/>
      <c r="Q32" s="98"/>
      <c r="R32" s="98"/>
      <c r="S32" s="98"/>
      <c r="T32" s="98"/>
      <c r="U32" s="98"/>
      <c r="V32" s="98"/>
      <c r="W32" s="98"/>
      <c r="X32" s="98"/>
      <c r="Y32" s="98"/>
      <c r="Z32" s="98"/>
    </row>
    <row r="33" spans="1:26" s="99" customFormat="1" x14ac:dyDescent="0.35">
      <c r="A33" s="43" t="s">
        <v>113</v>
      </c>
      <c r="B33" s="43" t="s">
        <v>2399</v>
      </c>
      <c r="C33" s="162">
        <v>1</v>
      </c>
      <c r="D33" s="162">
        <v>0</v>
      </c>
      <c r="E33" s="43" t="s">
        <v>3408</v>
      </c>
      <c r="F33" s="43" t="s">
        <v>2335</v>
      </c>
      <c r="G33" s="98"/>
      <c r="H33" s="98"/>
      <c r="I33" s="98"/>
      <c r="J33" s="98"/>
      <c r="K33" s="98"/>
      <c r="L33" s="98"/>
      <c r="M33" s="98"/>
      <c r="N33" s="98"/>
      <c r="O33" s="98"/>
      <c r="P33" s="98"/>
      <c r="Q33" s="98"/>
      <c r="R33" s="98"/>
      <c r="S33" s="98"/>
      <c r="T33" s="98"/>
      <c r="U33" s="98"/>
      <c r="V33" s="98"/>
      <c r="W33" s="98"/>
      <c r="X33" s="98"/>
      <c r="Y33" s="98"/>
      <c r="Z33" s="98"/>
    </row>
    <row r="34" spans="1:26" s="99" customFormat="1" x14ac:dyDescent="0.35">
      <c r="A34" s="43" t="s">
        <v>113</v>
      </c>
      <c r="B34" s="43" t="s">
        <v>2417</v>
      </c>
      <c r="C34" s="162">
        <v>1</v>
      </c>
      <c r="D34" s="162">
        <v>0</v>
      </c>
      <c r="E34" s="43" t="s">
        <v>3408</v>
      </c>
      <c r="F34" s="43" t="s">
        <v>2335</v>
      </c>
      <c r="G34" s="98"/>
      <c r="H34" s="98"/>
      <c r="I34" s="98"/>
      <c r="J34" s="98"/>
      <c r="K34" s="98"/>
      <c r="L34" s="98"/>
      <c r="M34" s="98"/>
      <c r="N34" s="98"/>
      <c r="O34" s="98"/>
      <c r="P34" s="98"/>
      <c r="Q34" s="98"/>
      <c r="R34" s="98"/>
      <c r="S34" s="98"/>
      <c r="T34" s="98"/>
      <c r="U34" s="98"/>
      <c r="V34" s="98"/>
      <c r="W34" s="98"/>
      <c r="X34" s="98"/>
      <c r="Y34" s="98"/>
      <c r="Z34" s="98"/>
    </row>
    <row r="35" spans="1:26" s="99" customFormat="1" x14ac:dyDescent="0.35">
      <c r="A35" s="43" t="s">
        <v>113</v>
      </c>
      <c r="B35" s="43" t="s">
        <v>2423</v>
      </c>
      <c r="C35" s="162">
        <v>1</v>
      </c>
      <c r="D35" s="162">
        <v>0</v>
      </c>
      <c r="E35" s="43" t="s">
        <v>3408</v>
      </c>
      <c r="F35" s="43" t="s">
        <v>2335</v>
      </c>
      <c r="G35" s="98"/>
      <c r="H35" s="98"/>
      <c r="I35" s="98"/>
      <c r="J35" s="98"/>
      <c r="K35" s="98"/>
      <c r="L35" s="98"/>
      <c r="M35" s="98"/>
      <c r="N35" s="98"/>
      <c r="O35" s="98"/>
      <c r="P35" s="98"/>
      <c r="Q35" s="98"/>
      <c r="R35" s="98"/>
      <c r="S35" s="98"/>
      <c r="T35" s="98"/>
      <c r="U35" s="98"/>
      <c r="V35" s="98"/>
      <c r="W35" s="98"/>
      <c r="X35" s="98"/>
      <c r="Y35" s="98"/>
      <c r="Z35" s="98"/>
    </row>
    <row r="36" spans="1:26" s="99" customFormat="1" x14ac:dyDescent="0.35">
      <c r="A36" s="43" t="s">
        <v>113</v>
      </c>
      <c r="B36" s="43" t="s">
        <v>2434</v>
      </c>
      <c r="C36" s="162">
        <v>1</v>
      </c>
      <c r="D36" s="162">
        <v>0</v>
      </c>
      <c r="E36" s="43" t="s">
        <v>3408</v>
      </c>
      <c r="F36" s="43" t="s">
        <v>2335</v>
      </c>
      <c r="G36" s="98"/>
      <c r="H36" s="98"/>
      <c r="I36" s="98"/>
      <c r="J36" s="98"/>
      <c r="K36" s="98"/>
      <c r="L36" s="98"/>
      <c r="M36" s="98"/>
      <c r="N36" s="98"/>
      <c r="O36" s="98"/>
      <c r="P36" s="98"/>
      <c r="Q36" s="98"/>
      <c r="R36" s="98"/>
      <c r="S36" s="98"/>
      <c r="T36" s="98"/>
      <c r="U36" s="98"/>
      <c r="V36" s="98"/>
      <c r="W36" s="98"/>
      <c r="X36" s="98"/>
      <c r="Y36" s="98"/>
      <c r="Z36" s="98"/>
    </row>
    <row r="37" spans="1:26" s="99" customFormat="1" x14ac:dyDescent="0.35">
      <c r="A37" s="43" t="s">
        <v>112</v>
      </c>
      <c r="B37" s="43" t="s">
        <v>2352</v>
      </c>
      <c r="C37" s="162">
        <v>0</v>
      </c>
      <c r="D37" s="162">
        <v>1</v>
      </c>
      <c r="E37" s="43" t="s">
        <v>3408</v>
      </c>
      <c r="F37" s="43" t="s">
        <v>2335</v>
      </c>
      <c r="G37" s="98"/>
      <c r="H37" s="98"/>
      <c r="I37" s="98"/>
      <c r="J37" s="98"/>
      <c r="K37" s="98"/>
      <c r="L37" s="98"/>
      <c r="M37" s="98"/>
      <c r="N37" s="98"/>
      <c r="O37" s="98"/>
      <c r="P37" s="98"/>
      <c r="Q37" s="98"/>
      <c r="R37" s="98"/>
      <c r="S37" s="98"/>
      <c r="T37" s="98"/>
      <c r="U37" s="98"/>
      <c r="V37" s="98"/>
      <c r="W37" s="98"/>
      <c r="X37" s="98"/>
      <c r="Y37" s="98"/>
      <c r="Z37" s="98"/>
    </row>
    <row r="38" spans="1:26" s="99" customFormat="1" x14ac:dyDescent="0.35">
      <c r="A38" s="43" t="s">
        <v>112</v>
      </c>
      <c r="B38" s="43" t="s">
        <v>2365</v>
      </c>
      <c r="C38" s="162">
        <v>0</v>
      </c>
      <c r="D38" s="162">
        <v>1</v>
      </c>
      <c r="E38" s="43" t="s">
        <v>3408</v>
      </c>
      <c r="F38" s="43" t="s">
        <v>2335</v>
      </c>
      <c r="G38" s="98"/>
      <c r="H38" s="98"/>
      <c r="I38" s="98"/>
      <c r="J38" s="98"/>
      <c r="K38" s="98"/>
      <c r="L38" s="98"/>
      <c r="M38" s="98"/>
      <c r="N38" s="98"/>
      <c r="O38" s="98"/>
      <c r="P38" s="98"/>
      <c r="Q38" s="98"/>
      <c r="R38" s="98"/>
      <c r="S38" s="98"/>
      <c r="T38" s="98"/>
      <c r="U38" s="98"/>
      <c r="V38" s="98"/>
      <c r="W38" s="98"/>
      <c r="X38" s="98"/>
      <c r="Y38" s="98"/>
      <c r="Z38" s="98"/>
    </row>
    <row r="39" spans="1:26" s="99" customFormat="1" x14ac:dyDescent="0.35">
      <c r="A39" s="43" t="s">
        <v>112</v>
      </c>
      <c r="B39" s="43" t="s">
        <v>2393</v>
      </c>
      <c r="C39" s="162">
        <v>0</v>
      </c>
      <c r="D39" s="162">
        <v>1</v>
      </c>
      <c r="E39" s="43" t="s">
        <v>3408</v>
      </c>
      <c r="F39" s="43" t="s">
        <v>2335</v>
      </c>
      <c r="G39" s="98"/>
      <c r="H39" s="98"/>
      <c r="I39" s="98"/>
      <c r="J39" s="98"/>
      <c r="K39" s="98"/>
      <c r="L39" s="98"/>
      <c r="M39" s="98"/>
      <c r="N39" s="98"/>
      <c r="O39" s="98"/>
      <c r="P39" s="98"/>
      <c r="Q39" s="98"/>
      <c r="R39" s="98"/>
      <c r="S39" s="98"/>
      <c r="T39" s="98"/>
      <c r="U39" s="98"/>
      <c r="V39" s="98"/>
      <c r="W39" s="98"/>
      <c r="X39" s="98"/>
      <c r="Y39" s="98"/>
      <c r="Z39" s="98"/>
    </row>
    <row r="40" spans="1:26" s="99" customFormat="1" x14ac:dyDescent="0.35">
      <c r="A40" s="43" t="s">
        <v>112</v>
      </c>
      <c r="B40" s="43" t="s">
        <v>2399</v>
      </c>
      <c r="C40" s="162">
        <v>0</v>
      </c>
      <c r="D40" s="162">
        <v>1</v>
      </c>
      <c r="E40" s="43" t="s">
        <v>3408</v>
      </c>
      <c r="F40" s="43" t="s">
        <v>2335</v>
      </c>
      <c r="G40" s="98"/>
      <c r="H40" s="98"/>
      <c r="I40" s="98"/>
      <c r="J40" s="98"/>
      <c r="K40" s="98"/>
      <c r="L40" s="98"/>
      <c r="M40" s="98"/>
      <c r="N40" s="98"/>
      <c r="O40" s="98"/>
      <c r="P40" s="98"/>
      <c r="Q40" s="98"/>
      <c r="R40" s="98"/>
      <c r="S40" s="98"/>
      <c r="T40" s="98"/>
      <c r="U40" s="98"/>
      <c r="V40" s="98"/>
      <c r="W40" s="98"/>
      <c r="X40" s="98"/>
      <c r="Y40" s="98"/>
      <c r="Z40" s="98"/>
    </row>
    <row r="41" spans="1:26" s="99" customFormat="1" x14ac:dyDescent="0.35">
      <c r="A41" s="43" t="s">
        <v>112</v>
      </c>
      <c r="B41" s="43" t="s">
        <v>2417</v>
      </c>
      <c r="C41" s="162">
        <v>0</v>
      </c>
      <c r="D41" s="162">
        <v>1</v>
      </c>
      <c r="E41" s="43" t="s">
        <v>3408</v>
      </c>
      <c r="F41" s="43" t="s">
        <v>2335</v>
      </c>
      <c r="G41" s="98"/>
      <c r="H41" s="98"/>
      <c r="I41" s="98"/>
      <c r="J41" s="98"/>
      <c r="K41" s="98"/>
      <c r="L41" s="98"/>
      <c r="M41" s="98"/>
      <c r="N41" s="98"/>
      <c r="O41" s="98"/>
      <c r="P41" s="98"/>
      <c r="Q41" s="98"/>
      <c r="R41" s="98"/>
      <c r="S41" s="98"/>
      <c r="T41" s="98"/>
      <c r="U41" s="98"/>
      <c r="V41" s="98"/>
      <c r="W41" s="98"/>
      <c r="X41" s="98"/>
      <c r="Y41" s="98"/>
      <c r="Z41" s="98"/>
    </row>
    <row r="42" spans="1:26" s="99" customFormat="1" x14ac:dyDescent="0.35">
      <c r="A42" s="43" t="s">
        <v>112</v>
      </c>
      <c r="B42" s="43" t="s">
        <v>2423</v>
      </c>
      <c r="C42" s="162">
        <v>0</v>
      </c>
      <c r="D42" s="162">
        <v>1</v>
      </c>
      <c r="E42" s="43" t="s">
        <v>3408</v>
      </c>
      <c r="F42" s="43" t="s">
        <v>2335</v>
      </c>
      <c r="G42" s="98"/>
      <c r="H42" s="98"/>
      <c r="I42" s="98"/>
      <c r="J42" s="98"/>
      <c r="K42" s="98"/>
      <c r="L42" s="98"/>
      <c r="M42" s="98"/>
      <c r="N42" s="98"/>
      <c r="O42" s="98"/>
      <c r="P42" s="98"/>
      <c r="Q42" s="98"/>
      <c r="R42" s="98"/>
      <c r="S42" s="98"/>
      <c r="T42" s="98"/>
      <c r="U42" s="98"/>
      <c r="V42" s="98"/>
      <c r="W42" s="98"/>
      <c r="X42" s="98"/>
      <c r="Y42" s="98"/>
      <c r="Z42" s="98"/>
    </row>
    <row r="43" spans="1:26" s="99" customFormat="1" x14ac:dyDescent="0.35">
      <c r="A43" s="43" t="s">
        <v>112</v>
      </c>
      <c r="B43" s="43" t="s">
        <v>2434</v>
      </c>
      <c r="C43" s="162">
        <v>0</v>
      </c>
      <c r="D43" s="162">
        <v>1</v>
      </c>
      <c r="E43" s="43" t="s">
        <v>3408</v>
      </c>
      <c r="F43" s="43" t="s">
        <v>2335</v>
      </c>
      <c r="G43" s="98"/>
      <c r="H43" s="98"/>
      <c r="I43" s="98"/>
      <c r="J43" s="98"/>
      <c r="K43" s="98"/>
      <c r="L43" s="98"/>
      <c r="M43" s="98"/>
      <c r="N43" s="98"/>
      <c r="O43" s="98"/>
      <c r="P43" s="98"/>
      <c r="Q43" s="98"/>
      <c r="R43" s="98"/>
      <c r="S43" s="98"/>
      <c r="T43" s="98"/>
      <c r="U43" s="98"/>
      <c r="V43" s="98"/>
      <c r="W43" s="98"/>
      <c r="X43" s="98"/>
      <c r="Y43" s="98"/>
      <c r="Z43" s="98"/>
    </row>
    <row r="44" spans="1:26" s="99" customFormat="1" x14ac:dyDescent="0.35">
      <c r="A44" s="43" t="s">
        <v>115</v>
      </c>
      <c r="B44" s="43" t="s">
        <v>2352</v>
      </c>
      <c r="C44" s="162" t="s">
        <v>3409</v>
      </c>
      <c r="D44" s="162" t="s">
        <v>3403</v>
      </c>
      <c r="E44" s="43" t="s">
        <v>3408</v>
      </c>
      <c r="F44" s="43" t="s">
        <v>2335</v>
      </c>
      <c r="G44" s="98"/>
      <c r="H44" s="98"/>
      <c r="I44" s="98"/>
      <c r="J44" s="98"/>
      <c r="K44" s="98"/>
      <c r="L44" s="98"/>
      <c r="M44" s="98"/>
      <c r="N44" s="98"/>
      <c r="O44" s="98"/>
      <c r="P44" s="98"/>
      <c r="Q44" s="98"/>
      <c r="R44" s="98"/>
      <c r="S44" s="98"/>
      <c r="T44" s="98"/>
      <c r="U44" s="98"/>
      <c r="V44" s="98"/>
      <c r="W44" s="98"/>
      <c r="X44" s="98"/>
      <c r="Y44" s="98"/>
      <c r="Z44" s="98"/>
    </row>
    <row r="45" spans="1:26" s="99" customFormat="1" x14ac:dyDescent="0.35">
      <c r="A45" s="43" t="s">
        <v>115</v>
      </c>
      <c r="B45" s="43" t="s">
        <v>2365</v>
      </c>
      <c r="C45" s="162" t="s">
        <v>3410</v>
      </c>
      <c r="D45" s="162" t="s">
        <v>3403</v>
      </c>
      <c r="E45" s="43" t="s">
        <v>3408</v>
      </c>
      <c r="F45" s="43" t="s">
        <v>2335</v>
      </c>
      <c r="G45" s="98"/>
      <c r="H45" s="98"/>
      <c r="I45" s="98"/>
      <c r="J45" s="98"/>
      <c r="K45" s="98"/>
      <c r="L45" s="98"/>
      <c r="M45" s="98"/>
      <c r="N45" s="98"/>
      <c r="O45" s="98"/>
      <c r="P45" s="98"/>
      <c r="Q45" s="98"/>
      <c r="R45" s="98"/>
      <c r="S45" s="98"/>
      <c r="T45" s="98"/>
      <c r="U45" s="98"/>
      <c r="V45" s="98"/>
      <c r="W45" s="98"/>
      <c r="X45" s="98"/>
      <c r="Y45" s="98"/>
      <c r="Z45" s="98"/>
    </row>
    <row r="46" spans="1:26" s="99" customFormat="1" x14ac:dyDescent="0.35">
      <c r="A46" s="43" t="s">
        <v>115</v>
      </c>
      <c r="B46" s="43" t="s">
        <v>2393</v>
      </c>
      <c r="C46" s="162" t="s">
        <v>3411</v>
      </c>
      <c r="D46" s="162" t="s">
        <v>3403</v>
      </c>
      <c r="E46" s="43" t="s">
        <v>3408</v>
      </c>
      <c r="F46" s="43" t="s">
        <v>2335</v>
      </c>
      <c r="G46" s="98"/>
      <c r="H46" s="98"/>
      <c r="I46" s="98"/>
      <c r="J46" s="98"/>
      <c r="K46" s="98"/>
      <c r="L46" s="98"/>
      <c r="M46" s="98"/>
      <c r="N46" s="98"/>
      <c r="O46" s="98"/>
      <c r="P46" s="98"/>
      <c r="Q46" s="98"/>
      <c r="R46" s="98"/>
      <c r="S46" s="98"/>
      <c r="T46" s="98"/>
      <c r="U46" s="98"/>
      <c r="V46" s="98"/>
      <c r="W46" s="98"/>
      <c r="X46" s="98"/>
      <c r="Y46" s="98"/>
      <c r="Z46" s="98"/>
    </row>
    <row r="47" spans="1:26" s="99" customFormat="1" x14ac:dyDescent="0.35">
      <c r="A47" s="43" t="s">
        <v>115</v>
      </c>
      <c r="B47" s="43" t="s">
        <v>2399</v>
      </c>
      <c r="C47" s="162" t="s">
        <v>3412</v>
      </c>
      <c r="D47" s="162" t="s">
        <v>3403</v>
      </c>
      <c r="E47" s="43" t="s">
        <v>3408</v>
      </c>
      <c r="F47" s="43" t="s">
        <v>2335</v>
      </c>
      <c r="G47" s="98"/>
      <c r="H47" s="98"/>
      <c r="I47" s="98"/>
      <c r="J47" s="98"/>
      <c r="K47" s="98"/>
      <c r="L47" s="98"/>
      <c r="M47" s="98"/>
      <c r="N47" s="98"/>
      <c r="O47" s="98"/>
      <c r="P47" s="98"/>
      <c r="Q47" s="98"/>
      <c r="R47" s="98"/>
      <c r="S47" s="98"/>
      <c r="T47" s="98"/>
      <c r="U47" s="98"/>
      <c r="V47" s="98"/>
      <c r="W47" s="98"/>
      <c r="X47" s="98"/>
      <c r="Y47" s="98"/>
      <c r="Z47" s="98"/>
    </row>
    <row r="48" spans="1:26" s="99" customFormat="1" x14ac:dyDescent="0.35">
      <c r="A48" s="43" t="s">
        <v>115</v>
      </c>
      <c r="B48" s="43" t="s">
        <v>2417</v>
      </c>
      <c r="C48" s="162" t="s">
        <v>3413</v>
      </c>
      <c r="D48" s="162" t="s">
        <v>3403</v>
      </c>
      <c r="E48" s="43" t="s">
        <v>3408</v>
      </c>
      <c r="F48" s="43" t="s">
        <v>2335</v>
      </c>
      <c r="G48" s="98"/>
      <c r="H48" s="98"/>
      <c r="I48" s="98"/>
      <c r="J48" s="98"/>
      <c r="K48" s="98"/>
      <c r="L48" s="98"/>
      <c r="M48" s="98"/>
      <c r="N48" s="98"/>
      <c r="O48" s="98"/>
      <c r="P48" s="98"/>
      <c r="Q48" s="98"/>
      <c r="R48" s="98"/>
      <c r="S48" s="98"/>
      <c r="T48" s="98"/>
      <c r="U48" s="98"/>
      <c r="V48" s="98"/>
      <c r="W48" s="98"/>
      <c r="X48" s="98"/>
      <c r="Y48" s="98"/>
      <c r="Z48" s="98"/>
    </row>
    <row r="49" spans="1:26" s="99" customFormat="1" x14ac:dyDescent="0.35">
      <c r="A49" s="43" t="s">
        <v>115</v>
      </c>
      <c r="B49" s="43" t="s">
        <v>2423</v>
      </c>
      <c r="C49" s="162" t="s">
        <v>2426</v>
      </c>
      <c r="D49" s="162" t="s">
        <v>3403</v>
      </c>
      <c r="E49" s="43" t="s">
        <v>3408</v>
      </c>
      <c r="F49" s="43" t="s">
        <v>2335</v>
      </c>
      <c r="G49" s="98"/>
      <c r="H49" s="98"/>
      <c r="I49" s="98"/>
      <c r="J49" s="98"/>
      <c r="K49" s="98"/>
      <c r="L49" s="98"/>
      <c r="M49" s="98"/>
      <c r="N49" s="98"/>
      <c r="O49" s="98"/>
      <c r="P49" s="98"/>
      <c r="Q49" s="98"/>
      <c r="R49" s="98"/>
      <c r="S49" s="98"/>
      <c r="T49" s="98"/>
      <c r="U49" s="98"/>
      <c r="V49" s="98"/>
      <c r="W49" s="98"/>
      <c r="X49" s="98"/>
      <c r="Y49" s="98"/>
      <c r="Z49" s="98"/>
    </row>
    <row r="50" spans="1:26" s="99" customFormat="1" x14ac:dyDescent="0.35">
      <c r="A50" s="43" t="s">
        <v>115</v>
      </c>
      <c r="B50" s="43" t="s">
        <v>2434</v>
      </c>
      <c r="C50" s="162" t="s">
        <v>3414</v>
      </c>
      <c r="D50" s="162" t="s">
        <v>3403</v>
      </c>
      <c r="E50" s="43" t="s">
        <v>3408</v>
      </c>
      <c r="F50" s="43" t="s">
        <v>2335</v>
      </c>
      <c r="G50" s="98"/>
      <c r="H50" s="98"/>
      <c r="I50" s="98"/>
      <c r="J50" s="98"/>
      <c r="K50" s="98"/>
      <c r="L50" s="98"/>
      <c r="M50" s="98"/>
      <c r="N50" s="98"/>
      <c r="O50" s="98"/>
      <c r="P50" s="98"/>
      <c r="Q50" s="98"/>
      <c r="R50" s="98"/>
      <c r="S50" s="98"/>
      <c r="T50" s="98"/>
      <c r="U50" s="98"/>
      <c r="V50" s="98"/>
      <c r="W50" s="98"/>
      <c r="X50" s="98"/>
      <c r="Y50" s="98"/>
      <c r="Z50" s="98"/>
    </row>
    <row r="51" spans="1:26" s="99" customFormat="1" x14ac:dyDescent="0.35">
      <c r="A51" s="43" t="s">
        <v>109</v>
      </c>
      <c r="B51" s="43" t="s">
        <v>2467</v>
      </c>
      <c r="C51" s="162" t="s">
        <v>1154</v>
      </c>
      <c r="D51" s="162" t="s">
        <v>1164</v>
      </c>
      <c r="E51" s="43" t="s">
        <v>3406</v>
      </c>
      <c r="F51" s="43" t="s">
        <v>2335</v>
      </c>
      <c r="G51" s="98"/>
      <c r="H51" s="98"/>
      <c r="I51" s="98"/>
      <c r="J51" s="98"/>
      <c r="K51" s="98"/>
      <c r="L51" s="98"/>
      <c r="M51" s="98"/>
      <c r="N51" s="98"/>
      <c r="O51" s="98"/>
      <c r="P51" s="98"/>
      <c r="Q51" s="98"/>
      <c r="R51" s="98"/>
      <c r="S51" s="98"/>
      <c r="T51" s="98"/>
      <c r="U51" s="98"/>
      <c r="V51" s="98"/>
      <c r="W51" s="98"/>
      <c r="X51" s="98"/>
      <c r="Y51" s="98"/>
      <c r="Z51" s="98"/>
    </row>
    <row r="52" spans="1:26" s="99" customFormat="1" x14ac:dyDescent="0.35">
      <c r="A52" s="43" t="s">
        <v>109</v>
      </c>
      <c r="B52" s="43" t="s">
        <v>2712</v>
      </c>
      <c r="C52" s="162" t="s">
        <v>1154</v>
      </c>
      <c r="D52" s="162" t="s">
        <v>1164</v>
      </c>
      <c r="E52" s="43" t="s">
        <v>3406</v>
      </c>
      <c r="F52" s="43" t="s">
        <v>2335</v>
      </c>
      <c r="G52" s="98"/>
      <c r="H52" s="98"/>
      <c r="I52" s="98"/>
      <c r="J52" s="98"/>
      <c r="K52" s="98"/>
      <c r="L52" s="98"/>
      <c r="M52" s="98"/>
      <c r="N52" s="98"/>
      <c r="O52" s="98"/>
      <c r="P52" s="98"/>
      <c r="Q52" s="98"/>
      <c r="R52" s="98"/>
      <c r="S52" s="98"/>
      <c r="T52" s="98"/>
      <c r="U52" s="98"/>
      <c r="V52" s="98"/>
      <c r="W52" s="98"/>
      <c r="X52" s="98"/>
      <c r="Y52" s="98"/>
      <c r="Z52" s="98"/>
    </row>
    <row r="53" spans="1:26" s="99" customFormat="1" x14ac:dyDescent="0.35">
      <c r="A53" s="43" t="s">
        <v>113</v>
      </c>
      <c r="B53" s="43" t="s">
        <v>2467</v>
      </c>
      <c r="C53" s="162">
        <v>1</v>
      </c>
      <c r="D53" s="162">
        <v>0</v>
      </c>
      <c r="E53" s="43" t="s">
        <v>3406</v>
      </c>
      <c r="F53" s="43" t="s">
        <v>2335</v>
      </c>
      <c r="G53" s="98"/>
      <c r="H53" s="98"/>
      <c r="I53" s="98"/>
      <c r="J53" s="98"/>
      <c r="K53" s="98"/>
      <c r="L53" s="98"/>
      <c r="M53" s="98"/>
      <c r="N53" s="98"/>
      <c r="O53" s="98"/>
      <c r="P53" s="98"/>
      <c r="Q53" s="98"/>
      <c r="R53" s="98"/>
      <c r="S53" s="98"/>
      <c r="T53" s="98"/>
      <c r="U53" s="98"/>
      <c r="V53" s="98"/>
      <c r="W53" s="98"/>
      <c r="X53" s="98"/>
      <c r="Y53" s="98"/>
      <c r="Z53" s="98"/>
    </row>
    <row r="54" spans="1:26" s="99" customFormat="1" x14ac:dyDescent="0.35">
      <c r="A54" s="43" t="s">
        <v>113</v>
      </c>
      <c r="B54" s="43" t="s">
        <v>2712</v>
      </c>
      <c r="C54" s="162">
        <v>1</v>
      </c>
      <c r="D54" s="162">
        <v>0</v>
      </c>
      <c r="E54" s="43" t="s">
        <v>3406</v>
      </c>
      <c r="F54" s="43" t="s">
        <v>2335</v>
      </c>
      <c r="G54" s="98"/>
      <c r="H54" s="98"/>
      <c r="I54" s="98"/>
      <c r="J54" s="98"/>
      <c r="K54" s="98"/>
      <c r="L54" s="98"/>
      <c r="M54" s="98"/>
      <c r="N54" s="98"/>
      <c r="O54" s="98"/>
      <c r="P54" s="98"/>
      <c r="Q54" s="98"/>
      <c r="R54" s="98"/>
      <c r="S54" s="98"/>
      <c r="T54" s="98"/>
      <c r="U54" s="98"/>
      <c r="V54" s="98"/>
      <c r="W54" s="98"/>
      <c r="X54" s="98"/>
      <c r="Y54" s="98"/>
      <c r="Z54" s="98"/>
    </row>
    <row r="55" spans="1:26" s="99" customFormat="1" x14ac:dyDescent="0.35">
      <c r="A55" s="43" t="s">
        <v>114</v>
      </c>
      <c r="B55" s="43" t="s">
        <v>2467</v>
      </c>
      <c r="C55" s="162">
        <v>0</v>
      </c>
      <c r="D55" s="162">
        <v>1</v>
      </c>
      <c r="E55" s="43" t="s">
        <v>3406</v>
      </c>
      <c r="F55" s="43" t="s">
        <v>2335</v>
      </c>
      <c r="G55" s="98"/>
      <c r="H55" s="98"/>
      <c r="I55" s="98"/>
      <c r="J55" s="98"/>
      <c r="K55" s="98"/>
      <c r="L55" s="98"/>
      <c r="M55" s="98"/>
      <c r="N55" s="98"/>
      <c r="O55" s="98"/>
      <c r="P55" s="98"/>
      <c r="Q55" s="98"/>
      <c r="R55" s="98"/>
      <c r="S55" s="98"/>
      <c r="T55" s="98"/>
      <c r="U55" s="98"/>
      <c r="V55" s="98"/>
      <c r="W55" s="98"/>
      <c r="X55" s="98"/>
      <c r="Y55" s="98"/>
      <c r="Z55" s="98"/>
    </row>
    <row r="56" spans="1:26" s="99" customFormat="1" x14ac:dyDescent="0.35">
      <c r="A56" s="43" t="s">
        <v>114</v>
      </c>
      <c r="B56" s="43" t="s">
        <v>2712</v>
      </c>
      <c r="C56" s="162">
        <v>0</v>
      </c>
      <c r="D56" s="162">
        <v>1</v>
      </c>
      <c r="E56" s="43" t="s">
        <v>3406</v>
      </c>
      <c r="F56" s="43" t="s">
        <v>2335</v>
      </c>
      <c r="G56" s="98"/>
      <c r="H56" s="98"/>
      <c r="I56" s="98"/>
      <c r="J56" s="98"/>
      <c r="K56" s="98"/>
      <c r="L56" s="98"/>
      <c r="M56" s="98"/>
      <c r="N56" s="98"/>
      <c r="O56" s="98"/>
      <c r="P56" s="98"/>
      <c r="Q56" s="98"/>
      <c r="R56" s="98"/>
      <c r="S56" s="98"/>
      <c r="T56" s="98"/>
      <c r="U56" s="98"/>
      <c r="V56" s="98"/>
      <c r="W56" s="98"/>
      <c r="X56" s="98"/>
      <c r="Y56" s="98"/>
      <c r="Z56" s="98"/>
    </row>
    <row r="57" spans="1:26" s="99" customFormat="1" x14ac:dyDescent="0.35">
      <c r="A57" s="43" t="s">
        <v>115</v>
      </c>
      <c r="B57" s="43" t="s">
        <v>2467</v>
      </c>
      <c r="C57" s="162" t="s">
        <v>3415</v>
      </c>
      <c r="D57" s="162" t="s">
        <v>3403</v>
      </c>
      <c r="E57" s="43" t="s">
        <v>3406</v>
      </c>
      <c r="F57" s="43" t="s">
        <v>2335</v>
      </c>
      <c r="G57" s="98"/>
      <c r="H57" s="98"/>
      <c r="I57" s="98"/>
      <c r="J57" s="98"/>
      <c r="K57" s="98"/>
      <c r="L57" s="98"/>
      <c r="M57" s="98"/>
      <c r="N57" s="98"/>
      <c r="O57" s="98"/>
      <c r="P57" s="98"/>
      <c r="Q57" s="98"/>
      <c r="R57" s="98"/>
      <c r="S57" s="98"/>
      <c r="T57" s="98"/>
      <c r="U57" s="98"/>
      <c r="V57" s="98"/>
      <c r="W57" s="98"/>
      <c r="X57" s="98"/>
      <c r="Y57" s="98"/>
      <c r="Z57" s="98"/>
    </row>
    <row r="58" spans="1:26" s="99" customFormat="1" x14ac:dyDescent="0.35">
      <c r="A58" s="43" t="s">
        <v>115</v>
      </c>
      <c r="B58" s="43" t="s">
        <v>2712</v>
      </c>
      <c r="C58" s="162" t="s">
        <v>3416</v>
      </c>
      <c r="D58" s="162" t="s">
        <v>3403</v>
      </c>
      <c r="E58" s="43" t="s">
        <v>3406</v>
      </c>
      <c r="F58" s="43" t="s">
        <v>2335</v>
      </c>
      <c r="G58" s="98"/>
      <c r="H58" s="98"/>
      <c r="I58" s="98"/>
      <c r="J58" s="98"/>
      <c r="K58" s="98"/>
      <c r="L58" s="98"/>
      <c r="M58" s="98"/>
      <c r="N58" s="98"/>
      <c r="O58" s="98"/>
      <c r="P58" s="98"/>
      <c r="Q58" s="98"/>
      <c r="R58" s="98"/>
      <c r="S58" s="98"/>
      <c r="T58" s="98"/>
      <c r="U58" s="98"/>
      <c r="V58" s="98"/>
      <c r="W58" s="98"/>
      <c r="X58" s="98"/>
      <c r="Y58" s="98"/>
      <c r="Z58" s="98"/>
    </row>
    <row r="59" spans="1:26" s="99" customFormat="1" x14ac:dyDescent="0.35">
      <c r="A59" s="43" t="s">
        <v>109</v>
      </c>
      <c r="B59" s="43" t="s">
        <v>2405</v>
      </c>
      <c r="C59" s="162" t="s">
        <v>1154</v>
      </c>
      <c r="D59" s="162" t="s">
        <v>1162</v>
      </c>
      <c r="E59" s="43" t="s">
        <v>3408</v>
      </c>
      <c r="F59" s="43" t="s">
        <v>2335</v>
      </c>
      <c r="G59" s="98"/>
      <c r="H59" s="98"/>
      <c r="I59" s="98"/>
      <c r="J59" s="98"/>
      <c r="K59" s="98"/>
      <c r="L59" s="98"/>
      <c r="M59" s="98"/>
      <c r="N59" s="98"/>
      <c r="O59" s="98"/>
      <c r="P59" s="98"/>
      <c r="Q59" s="98"/>
      <c r="R59" s="98"/>
      <c r="S59" s="98"/>
      <c r="T59" s="98"/>
      <c r="U59" s="98"/>
      <c r="V59" s="98"/>
      <c r="W59" s="98"/>
      <c r="X59" s="98"/>
      <c r="Y59" s="98"/>
      <c r="Z59" s="98"/>
    </row>
    <row r="60" spans="1:26" s="99" customFormat="1" x14ac:dyDescent="0.35">
      <c r="A60" s="43" t="s">
        <v>109</v>
      </c>
      <c r="B60" s="43" t="s">
        <v>2409</v>
      </c>
      <c r="C60" s="162" t="s">
        <v>1154</v>
      </c>
      <c r="D60" s="162" t="s">
        <v>1162</v>
      </c>
      <c r="E60" s="43" t="s">
        <v>3408</v>
      </c>
      <c r="F60" s="43" t="s">
        <v>2335</v>
      </c>
      <c r="G60" s="98"/>
      <c r="H60" s="98"/>
      <c r="I60" s="98"/>
      <c r="J60" s="98"/>
      <c r="K60" s="98"/>
      <c r="L60" s="98"/>
      <c r="M60" s="98"/>
      <c r="N60" s="98"/>
      <c r="O60" s="98"/>
      <c r="P60" s="98"/>
      <c r="Q60" s="98"/>
      <c r="R60" s="98"/>
      <c r="S60" s="98"/>
      <c r="T60" s="98"/>
      <c r="U60" s="98"/>
      <c r="V60" s="98"/>
      <c r="W60" s="98"/>
      <c r="X60" s="98"/>
      <c r="Y60" s="98"/>
      <c r="Z60" s="98"/>
    </row>
    <row r="61" spans="1:26" s="99" customFormat="1" x14ac:dyDescent="0.35">
      <c r="A61" s="43" t="s">
        <v>109</v>
      </c>
      <c r="B61" s="43" t="s">
        <v>2413</v>
      </c>
      <c r="C61" s="162" t="s">
        <v>1154</v>
      </c>
      <c r="D61" s="162" t="s">
        <v>1162</v>
      </c>
      <c r="E61" s="43" t="s">
        <v>3408</v>
      </c>
      <c r="F61" s="43" t="s">
        <v>2335</v>
      </c>
      <c r="G61" s="98"/>
      <c r="H61" s="98"/>
      <c r="I61" s="98"/>
      <c r="J61" s="98"/>
      <c r="K61" s="98"/>
      <c r="L61" s="98"/>
      <c r="M61" s="98"/>
      <c r="N61" s="98"/>
      <c r="O61" s="98"/>
      <c r="P61" s="98"/>
      <c r="Q61" s="98"/>
      <c r="R61" s="98"/>
      <c r="S61" s="98"/>
      <c r="T61" s="98"/>
      <c r="U61" s="98"/>
      <c r="V61" s="98"/>
      <c r="W61" s="98"/>
      <c r="X61" s="98"/>
      <c r="Y61" s="98"/>
      <c r="Z61" s="98"/>
    </row>
    <row r="62" spans="1:26" s="99" customFormat="1" x14ac:dyDescent="0.35">
      <c r="A62" s="43" t="s">
        <v>113</v>
      </c>
      <c r="B62" s="43" t="s">
        <v>2405</v>
      </c>
      <c r="C62" s="162">
        <v>1</v>
      </c>
      <c r="D62" s="162">
        <v>0</v>
      </c>
      <c r="E62" s="43" t="s">
        <v>3408</v>
      </c>
      <c r="F62" s="43" t="s">
        <v>2335</v>
      </c>
      <c r="G62" s="98"/>
      <c r="H62" s="98"/>
      <c r="I62" s="98"/>
      <c r="J62" s="98"/>
      <c r="K62" s="98"/>
      <c r="L62" s="98"/>
      <c r="M62" s="98"/>
      <c r="N62" s="98"/>
      <c r="O62" s="98"/>
      <c r="P62" s="98"/>
      <c r="Q62" s="98"/>
      <c r="R62" s="98"/>
      <c r="S62" s="98"/>
      <c r="T62" s="98"/>
      <c r="U62" s="98"/>
      <c r="V62" s="98"/>
      <c r="W62" s="98"/>
      <c r="X62" s="98"/>
      <c r="Y62" s="98"/>
      <c r="Z62" s="98"/>
    </row>
    <row r="63" spans="1:26" s="99" customFormat="1" x14ac:dyDescent="0.35">
      <c r="A63" s="43" t="s">
        <v>113</v>
      </c>
      <c r="B63" s="43" t="s">
        <v>2409</v>
      </c>
      <c r="C63" s="162">
        <v>1</v>
      </c>
      <c r="D63" s="162">
        <v>0</v>
      </c>
      <c r="E63" s="43" t="s">
        <v>3408</v>
      </c>
      <c r="F63" s="43" t="s">
        <v>2335</v>
      </c>
      <c r="G63" s="98"/>
      <c r="H63" s="98"/>
      <c r="I63" s="98"/>
      <c r="J63" s="98"/>
      <c r="K63" s="98"/>
      <c r="L63" s="98"/>
      <c r="M63" s="98"/>
      <c r="N63" s="98"/>
      <c r="O63" s="98"/>
      <c r="P63" s="98"/>
      <c r="Q63" s="98"/>
      <c r="R63" s="98"/>
      <c r="S63" s="98"/>
      <c r="T63" s="98"/>
      <c r="U63" s="98"/>
      <c r="V63" s="98"/>
      <c r="W63" s="98"/>
      <c r="X63" s="98"/>
      <c r="Y63" s="98"/>
      <c r="Z63" s="98"/>
    </row>
    <row r="64" spans="1:26" s="99" customFormat="1" x14ac:dyDescent="0.35">
      <c r="A64" s="43" t="s">
        <v>113</v>
      </c>
      <c r="B64" s="43" t="s">
        <v>2413</v>
      </c>
      <c r="C64" s="162">
        <v>1</v>
      </c>
      <c r="D64" s="162">
        <v>0</v>
      </c>
      <c r="E64" s="43" t="s">
        <v>3408</v>
      </c>
      <c r="F64" s="43" t="s">
        <v>2335</v>
      </c>
      <c r="G64" s="98"/>
      <c r="H64" s="98"/>
      <c r="I64" s="98"/>
      <c r="J64" s="98"/>
      <c r="K64" s="98"/>
      <c r="L64" s="98"/>
      <c r="M64" s="98"/>
      <c r="N64" s="98"/>
      <c r="O64" s="98"/>
      <c r="P64" s="98"/>
      <c r="Q64" s="98"/>
      <c r="R64" s="98"/>
      <c r="S64" s="98"/>
      <c r="T64" s="98"/>
      <c r="U64" s="98"/>
      <c r="V64" s="98"/>
      <c r="W64" s="98"/>
      <c r="X64" s="98"/>
      <c r="Y64" s="98"/>
      <c r="Z64" s="98"/>
    </row>
    <row r="65" spans="1:26" s="99" customFormat="1" x14ac:dyDescent="0.35">
      <c r="A65" s="43" t="s">
        <v>112</v>
      </c>
      <c r="B65" s="43" t="s">
        <v>2405</v>
      </c>
      <c r="C65" s="162">
        <v>0</v>
      </c>
      <c r="D65" s="162">
        <v>1</v>
      </c>
      <c r="E65" s="43" t="s">
        <v>3408</v>
      </c>
      <c r="F65" s="43" t="s">
        <v>2335</v>
      </c>
      <c r="G65" s="98"/>
      <c r="H65" s="98"/>
      <c r="I65" s="98"/>
      <c r="J65" s="98"/>
      <c r="K65" s="98"/>
      <c r="L65" s="98"/>
      <c r="M65" s="98"/>
      <c r="N65" s="98"/>
      <c r="O65" s="98"/>
      <c r="P65" s="98"/>
      <c r="Q65" s="98"/>
      <c r="R65" s="98"/>
      <c r="S65" s="98"/>
      <c r="T65" s="98"/>
      <c r="U65" s="98"/>
      <c r="V65" s="98"/>
      <c r="W65" s="98"/>
      <c r="X65" s="98"/>
      <c r="Y65" s="98"/>
      <c r="Z65" s="98"/>
    </row>
    <row r="66" spans="1:26" s="99" customFormat="1" x14ac:dyDescent="0.35">
      <c r="A66" s="43" t="s">
        <v>112</v>
      </c>
      <c r="B66" s="43" t="s">
        <v>2409</v>
      </c>
      <c r="C66" s="162">
        <v>0</v>
      </c>
      <c r="D66" s="162">
        <v>1</v>
      </c>
      <c r="E66" s="43" t="s">
        <v>3408</v>
      </c>
      <c r="F66" s="43" t="s">
        <v>2335</v>
      </c>
      <c r="G66" s="98"/>
      <c r="H66" s="98"/>
      <c r="I66" s="98"/>
      <c r="J66" s="98"/>
      <c r="K66" s="98"/>
      <c r="L66" s="98"/>
      <c r="M66" s="98"/>
      <c r="N66" s="98"/>
      <c r="O66" s="98"/>
      <c r="P66" s="98"/>
      <c r="Q66" s="98"/>
      <c r="R66" s="98"/>
      <c r="S66" s="98"/>
      <c r="T66" s="98"/>
      <c r="U66" s="98"/>
      <c r="V66" s="98"/>
      <c r="W66" s="98"/>
      <c r="X66" s="98"/>
      <c r="Y66" s="98"/>
      <c r="Z66" s="98"/>
    </row>
    <row r="67" spans="1:26" s="99" customFormat="1" x14ac:dyDescent="0.35">
      <c r="A67" s="43" t="s">
        <v>112</v>
      </c>
      <c r="B67" s="43" t="s">
        <v>2413</v>
      </c>
      <c r="C67" s="162">
        <v>0</v>
      </c>
      <c r="D67" s="162">
        <v>1</v>
      </c>
      <c r="E67" s="43" t="s">
        <v>3408</v>
      </c>
      <c r="F67" s="43" t="s">
        <v>2335</v>
      </c>
      <c r="G67" s="98"/>
      <c r="H67" s="98"/>
      <c r="I67" s="98"/>
      <c r="J67" s="98"/>
      <c r="K67" s="98"/>
      <c r="L67" s="98"/>
      <c r="M67" s="98"/>
      <c r="N67" s="98"/>
      <c r="O67" s="98"/>
      <c r="P67" s="98"/>
      <c r="Q67" s="98"/>
      <c r="R67" s="98"/>
      <c r="S67" s="98"/>
      <c r="T67" s="98"/>
      <c r="U67" s="98"/>
      <c r="V67" s="98"/>
      <c r="W67" s="98"/>
      <c r="X67" s="98"/>
      <c r="Y67" s="98"/>
      <c r="Z67" s="98"/>
    </row>
    <row r="68" spans="1:26" s="99" customFormat="1" x14ac:dyDescent="0.35">
      <c r="A68" s="43" t="s">
        <v>115</v>
      </c>
      <c r="B68" s="43" t="s">
        <v>2405</v>
      </c>
      <c r="C68" s="162" t="s">
        <v>3417</v>
      </c>
      <c r="D68" s="162" t="s">
        <v>3403</v>
      </c>
      <c r="E68" s="43" t="s">
        <v>3408</v>
      </c>
      <c r="F68" s="43" t="s">
        <v>2335</v>
      </c>
      <c r="G68" s="98"/>
      <c r="H68" s="98"/>
      <c r="I68" s="98"/>
      <c r="J68" s="98"/>
      <c r="K68" s="98"/>
      <c r="L68" s="98"/>
      <c r="M68" s="98"/>
      <c r="N68" s="98"/>
      <c r="O68" s="98"/>
      <c r="P68" s="98"/>
      <c r="Q68" s="98"/>
      <c r="R68" s="98"/>
      <c r="S68" s="98"/>
      <c r="T68" s="98"/>
      <c r="U68" s="98"/>
      <c r="V68" s="98"/>
      <c r="W68" s="98"/>
      <c r="X68" s="98"/>
      <c r="Y68" s="98"/>
      <c r="Z68" s="98"/>
    </row>
    <row r="69" spans="1:26" s="99" customFormat="1" x14ac:dyDescent="0.35">
      <c r="A69" s="43" t="s">
        <v>115</v>
      </c>
      <c r="B69" s="43" t="s">
        <v>2409</v>
      </c>
      <c r="C69" s="162" t="s">
        <v>3418</v>
      </c>
      <c r="D69" s="162" t="s">
        <v>3403</v>
      </c>
      <c r="E69" s="43" t="s">
        <v>3408</v>
      </c>
      <c r="F69" s="43" t="s">
        <v>2335</v>
      </c>
      <c r="G69" s="98"/>
      <c r="H69" s="98"/>
      <c r="I69" s="98"/>
      <c r="J69" s="98"/>
      <c r="K69" s="98"/>
      <c r="L69" s="98"/>
      <c r="M69" s="98"/>
      <c r="N69" s="98"/>
      <c r="O69" s="98"/>
      <c r="P69" s="98"/>
      <c r="Q69" s="98"/>
      <c r="R69" s="98"/>
      <c r="S69" s="98"/>
      <c r="T69" s="98"/>
      <c r="U69" s="98"/>
      <c r="V69" s="98"/>
      <c r="W69" s="98"/>
      <c r="X69" s="98"/>
      <c r="Y69" s="98"/>
      <c r="Z69" s="98"/>
    </row>
    <row r="70" spans="1:26" s="99" customFormat="1" x14ac:dyDescent="0.35">
      <c r="A70" s="43" t="s">
        <v>115</v>
      </c>
      <c r="B70" s="43" t="s">
        <v>2413</v>
      </c>
      <c r="C70" s="162" t="s">
        <v>3419</v>
      </c>
      <c r="D70" s="162" t="s">
        <v>3403</v>
      </c>
      <c r="E70" s="43" t="s">
        <v>3408</v>
      </c>
      <c r="F70" s="43" t="s">
        <v>2335</v>
      </c>
      <c r="G70" s="98"/>
      <c r="H70" s="98"/>
      <c r="I70" s="98"/>
      <c r="J70" s="98"/>
      <c r="K70" s="98"/>
      <c r="L70" s="98"/>
      <c r="M70" s="98"/>
      <c r="N70" s="98"/>
      <c r="O70" s="98"/>
      <c r="P70" s="98"/>
      <c r="Q70" s="98"/>
      <c r="R70" s="98"/>
      <c r="S70" s="98"/>
      <c r="T70" s="98"/>
      <c r="U70" s="98"/>
      <c r="V70" s="98"/>
      <c r="W70" s="98"/>
      <c r="X70" s="98"/>
      <c r="Y70" s="98"/>
      <c r="Z70" s="98"/>
    </row>
    <row r="71" spans="1:26" s="99" customFormat="1" x14ac:dyDescent="0.35">
      <c r="A71" s="43" t="s">
        <v>109</v>
      </c>
      <c r="B71" s="43" t="s">
        <v>2429</v>
      </c>
      <c r="C71" s="162" t="s">
        <v>1154</v>
      </c>
      <c r="D71" s="162" t="s">
        <v>1162</v>
      </c>
      <c r="E71" s="43" t="s">
        <v>3408</v>
      </c>
      <c r="F71" s="43" t="s">
        <v>2335</v>
      </c>
      <c r="G71" s="98"/>
      <c r="H71" s="98"/>
      <c r="I71" s="98"/>
      <c r="J71" s="98"/>
      <c r="K71" s="98"/>
      <c r="L71" s="98"/>
      <c r="M71" s="98"/>
      <c r="N71" s="98"/>
      <c r="O71" s="98"/>
      <c r="P71" s="98"/>
      <c r="Q71" s="98"/>
      <c r="R71" s="98"/>
      <c r="S71" s="98"/>
      <c r="T71" s="98"/>
      <c r="U71" s="98"/>
      <c r="V71" s="98"/>
      <c r="W71" s="98"/>
      <c r="X71" s="98"/>
      <c r="Y71" s="98"/>
      <c r="Z71" s="98"/>
    </row>
    <row r="72" spans="1:26" s="99" customFormat="1" x14ac:dyDescent="0.35">
      <c r="A72" s="43" t="s">
        <v>113</v>
      </c>
      <c r="B72" s="43" t="s">
        <v>2429</v>
      </c>
      <c r="C72" s="162">
        <v>1</v>
      </c>
      <c r="D72" s="162">
        <v>0</v>
      </c>
      <c r="E72" s="43" t="s">
        <v>3408</v>
      </c>
      <c r="F72" s="43" t="s">
        <v>2335</v>
      </c>
      <c r="G72" s="98"/>
      <c r="H72" s="98"/>
      <c r="I72" s="98"/>
      <c r="J72" s="98"/>
      <c r="K72" s="98"/>
      <c r="L72" s="98"/>
      <c r="M72" s="98"/>
      <c r="N72" s="98"/>
      <c r="O72" s="98"/>
      <c r="P72" s="98"/>
      <c r="Q72" s="98"/>
      <c r="R72" s="98"/>
      <c r="S72" s="98"/>
      <c r="T72" s="98"/>
      <c r="U72" s="98"/>
      <c r="V72" s="98"/>
      <c r="W72" s="98"/>
      <c r="X72" s="98"/>
      <c r="Y72" s="98"/>
      <c r="Z72" s="98"/>
    </row>
    <row r="73" spans="1:26" s="99" customFormat="1" x14ac:dyDescent="0.35">
      <c r="A73" s="43" t="s">
        <v>112</v>
      </c>
      <c r="B73" s="43" t="s">
        <v>2429</v>
      </c>
      <c r="C73" s="162">
        <v>0</v>
      </c>
      <c r="D73" s="162">
        <v>1</v>
      </c>
      <c r="E73" s="43" t="s">
        <v>3408</v>
      </c>
      <c r="F73" s="43" t="s">
        <v>2335</v>
      </c>
      <c r="G73" s="98"/>
      <c r="H73" s="98"/>
      <c r="I73" s="98"/>
      <c r="J73" s="98"/>
      <c r="K73" s="98"/>
      <c r="L73" s="98"/>
      <c r="M73" s="98"/>
      <c r="N73" s="98"/>
      <c r="O73" s="98"/>
      <c r="P73" s="98"/>
      <c r="Q73" s="98"/>
      <c r="R73" s="98"/>
      <c r="S73" s="98"/>
      <c r="T73" s="98"/>
      <c r="U73" s="98"/>
      <c r="V73" s="98"/>
      <c r="W73" s="98"/>
      <c r="X73" s="98"/>
      <c r="Y73" s="98"/>
      <c r="Z73" s="98"/>
    </row>
    <row r="74" spans="1:26" s="99" customFormat="1" x14ac:dyDescent="0.35">
      <c r="A74" s="43" t="s">
        <v>115</v>
      </c>
      <c r="B74" s="43" t="s">
        <v>2429</v>
      </c>
      <c r="C74" s="163" t="s">
        <v>3420</v>
      </c>
      <c r="D74" s="162" t="s">
        <v>3403</v>
      </c>
      <c r="E74" s="43" t="s">
        <v>3408</v>
      </c>
      <c r="F74" s="43" t="s">
        <v>2335</v>
      </c>
      <c r="G74" s="98"/>
      <c r="H74" s="98"/>
      <c r="I74" s="98"/>
      <c r="J74" s="98"/>
      <c r="K74" s="98"/>
      <c r="L74" s="98"/>
      <c r="M74" s="98"/>
      <c r="N74" s="98"/>
      <c r="O74" s="98"/>
      <c r="P74" s="98"/>
      <c r="Q74" s="98"/>
      <c r="R74" s="98"/>
      <c r="S74" s="98"/>
      <c r="T74" s="98"/>
      <c r="U74" s="98"/>
      <c r="V74" s="98"/>
      <c r="W74" s="98"/>
      <c r="X74" s="98"/>
      <c r="Y74" s="98"/>
      <c r="Z74" s="98"/>
    </row>
    <row r="75" spans="1:26" s="99" customFormat="1" x14ac:dyDescent="0.35">
      <c r="A75" s="43" t="s">
        <v>130</v>
      </c>
      <c r="B75" s="43" t="s">
        <v>2417</v>
      </c>
      <c r="C75" s="162" t="s">
        <v>3421</v>
      </c>
      <c r="D75" s="162" t="s">
        <v>2759</v>
      </c>
      <c r="E75" s="43" t="s">
        <v>3406</v>
      </c>
      <c r="F75" s="43" t="s">
        <v>2335</v>
      </c>
      <c r="G75" s="98"/>
      <c r="H75" s="98"/>
      <c r="I75" s="98"/>
      <c r="J75" s="98"/>
      <c r="K75" s="98"/>
      <c r="L75" s="98"/>
      <c r="M75" s="98"/>
      <c r="N75" s="98"/>
      <c r="O75" s="98"/>
      <c r="P75" s="98"/>
      <c r="Q75" s="98"/>
      <c r="R75" s="98"/>
      <c r="S75" s="98"/>
      <c r="T75" s="98"/>
      <c r="U75" s="98"/>
      <c r="V75" s="98"/>
      <c r="W75" s="98"/>
      <c r="X75" s="98"/>
      <c r="Y75" s="98"/>
      <c r="Z75" s="98"/>
    </row>
    <row r="76" spans="1:26" s="99" customFormat="1" x14ac:dyDescent="0.35">
      <c r="A76" s="43" t="s">
        <v>142</v>
      </c>
      <c r="B76" s="43" t="s">
        <v>2417</v>
      </c>
      <c r="C76" s="162">
        <v>1</v>
      </c>
      <c r="D76" s="162">
        <v>0</v>
      </c>
      <c r="E76" s="43" t="s">
        <v>3406</v>
      </c>
      <c r="F76" s="43" t="s">
        <v>2335</v>
      </c>
      <c r="G76" s="98"/>
      <c r="H76" s="98"/>
      <c r="I76" s="98"/>
      <c r="J76" s="98"/>
      <c r="K76" s="98"/>
      <c r="L76" s="98"/>
      <c r="M76" s="98"/>
      <c r="N76" s="98"/>
      <c r="O76" s="98"/>
      <c r="P76" s="98"/>
      <c r="Q76" s="98"/>
      <c r="R76" s="98"/>
      <c r="S76" s="98"/>
      <c r="T76" s="98"/>
      <c r="U76" s="98"/>
      <c r="V76" s="98"/>
      <c r="W76" s="98"/>
      <c r="X76" s="98"/>
      <c r="Y76" s="98"/>
      <c r="Z76" s="98"/>
    </row>
    <row r="77" spans="1:26" s="99" customFormat="1" x14ac:dyDescent="0.35">
      <c r="A77" s="43" t="s">
        <v>130</v>
      </c>
      <c r="B77" s="43" t="s">
        <v>2423</v>
      </c>
      <c r="C77" s="162" t="s">
        <v>3421</v>
      </c>
      <c r="D77" s="162" t="s">
        <v>2759</v>
      </c>
      <c r="E77" s="43" t="s">
        <v>3406</v>
      </c>
      <c r="F77" s="43" t="s">
        <v>2335</v>
      </c>
      <c r="G77" s="98"/>
      <c r="H77" s="98"/>
      <c r="I77" s="98"/>
      <c r="J77" s="98"/>
      <c r="K77" s="98"/>
      <c r="L77" s="98"/>
      <c r="M77" s="98"/>
      <c r="N77" s="98"/>
      <c r="O77" s="98"/>
      <c r="P77" s="98"/>
      <c r="Q77" s="98"/>
      <c r="R77" s="98"/>
      <c r="S77" s="98"/>
      <c r="T77" s="98"/>
      <c r="U77" s="98"/>
      <c r="V77" s="98"/>
      <c r="W77" s="98"/>
      <c r="X77" s="98"/>
      <c r="Y77" s="98"/>
      <c r="Z77" s="98"/>
    </row>
    <row r="78" spans="1:26" s="99" customFormat="1" x14ac:dyDescent="0.35">
      <c r="A78" s="43" t="s">
        <v>142</v>
      </c>
      <c r="B78" s="43" t="s">
        <v>2423</v>
      </c>
      <c r="C78" s="162">
        <v>1</v>
      </c>
      <c r="D78" s="162">
        <v>0</v>
      </c>
      <c r="E78" s="43" t="s">
        <v>3406</v>
      </c>
      <c r="F78" s="43" t="s">
        <v>2335</v>
      </c>
      <c r="G78" s="98"/>
      <c r="H78" s="98"/>
      <c r="I78" s="98"/>
      <c r="J78" s="98"/>
      <c r="K78" s="98"/>
      <c r="L78" s="98"/>
      <c r="M78" s="98"/>
      <c r="N78" s="98"/>
      <c r="O78" s="98"/>
      <c r="P78" s="98"/>
      <c r="Q78" s="98"/>
      <c r="R78" s="98"/>
      <c r="S78" s="98"/>
      <c r="T78" s="98"/>
      <c r="U78" s="98"/>
      <c r="V78" s="98"/>
      <c r="W78" s="98"/>
      <c r="X78" s="98"/>
      <c r="Y78" s="98"/>
      <c r="Z78" s="98"/>
    </row>
    <row r="79" spans="1:26" s="99" customFormat="1" x14ac:dyDescent="0.35">
      <c r="A79" s="43" t="s">
        <v>130</v>
      </c>
      <c r="B79" s="43" t="s">
        <v>2434</v>
      </c>
      <c r="C79" s="162" t="s">
        <v>3421</v>
      </c>
      <c r="D79" s="162" t="s">
        <v>2759</v>
      </c>
      <c r="E79" s="43" t="s">
        <v>3406</v>
      </c>
      <c r="F79" s="43" t="s">
        <v>2335</v>
      </c>
      <c r="G79" s="98"/>
      <c r="H79" s="98"/>
      <c r="I79" s="98"/>
      <c r="J79" s="98"/>
      <c r="K79" s="98"/>
      <c r="L79" s="98"/>
      <c r="M79" s="98"/>
      <c r="N79" s="98"/>
      <c r="O79" s="98"/>
      <c r="P79" s="98"/>
      <c r="Q79" s="98"/>
      <c r="R79" s="98"/>
      <c r="S79" s="98"/>
      <c r="T79" s="98"/>
      <c r="U79" s="98"/>
      <c r="V79" s="98"/>
      <c r="W79" s="98"/>
      <c r="X79" s="98"/>
      <c r="Y79" s="98"/>
      <c r="Z79" s="98"/>
    </row>
    <row r="80" spans="1:26" s="99" customFormat="1" x14ac:dyDescent="0.35">
      <c r="A80" s="43" t="s">
        <v>142</v>
      </c>
      <c r="B80" s="43" t="s">
        <v>2434</v>
      </c>
      <c r="C80" s="162">
        <v>1</v>
      </c>
      <c r="D80" s="162">
        <v>0</v>
      </c>
      <c r="E80" s="43" t="s">
        <v>3406</v>
      </c>
      <c r="F80" s="43" t="s">
        <v>2335</v>
      </c>
      <c r="G80" s="98"/>
      <c r="H80" s="98"/>
      <c r="I80" s="98"/>
      <c r="J80" s="98"/>
      <c r="K80" s="98"/>
      <c r="L80" s="98"/>
      <c r="M80" s="98"/>
      <c r="N80" s="98"/>
      <c r="O80" s="98"/>
      <c r="P80" s="98"/>
      <c r="Q80" s="98"/>
      <c r="R80" s="98"/>
      <c r="S80" s="98"/>
      <c r="T80" s="98"/>
      <c r="U80" s="98"/>
      <c r="V80" s="98"/>
      <c r="W80" s="98"/>
      <c r="X80" s="98"/>
      <c r="Y80" s="98"/>
      <c r="Z80" s="98"/>
    </row>
    <row r="81" spans="1:26" s="99" customFormat="1" x14ac:dyDescent="0.35">
      <c r="A81" s="43" t="s">
        <v>177</v>
      </c>
      <c r="B81" s="43" t="s">
        <v>2698</v>
      </c>
      <c r="C81" s="162" t="s">
        <v>3422</v>
      </c>
      <c r="D81" s="162" t="s">
        <v>1162</v>
      </c>
      <c r="E81" s="43" t="s">
        <v>3408</v>
      </c>
      <c r="F81" s="43" t="s">
        <v>2335</v>
      </c>
      <c r="G81" s="98"/>
      <c r="H81" s="98"/>
      <c r="I81" s="98"/>
      <c r="J81" s="98"/>
      <c r="K81" s="98"/>
      <c r="L81" s="98"/>
      <c r="M81" s="98"/>
      <c r="N81" s="98"/>
      <c r="O81" s="98"/>
      <c r="P81" s="98"/>
      <c r="Q81" s="98"/>
      <c r="R81" s="98"/>
      <c r="S81" s="98"/>
      <c r="T81" s="98"/>
      <c r="U81" s="98"/>
      <c r="V81" s="98"/>
      <c r="W81" s="98"/>
      <c r="X81" s="98"/>
      <c r="Y81" s="98"/>
      <c r="Z81" s="98"/>
    </row>
    <row r="82" spans="1:26" s="99" customFormat="1" x14ac:dyDescent="0.35">
      <c r="A82" s="43" t="s">
        <v>177</v>
      </c>
      <c r="B82" s="43" t="s">
        <v>2712</v>
      </c>
      <c r="C82" s="162" t="s">
        <v>3422</v>
      </c>
      <c r="D82" s="162" t="s">
        <v>1162</v>
      </c>
      <c r="E82" s="43" t="s">
        <v>3408</v>
      </c>
      <c r="F82" s="43" t="s">
        <v>2335</v>
      </c>
      <c r="G82" s="98"/>
      <c r="H82" s="98"/>
      <c r="I82" s="98"/>
      <c r="J82" s="98"/>
      <c r="K82" s="98"/>
      <c r="L82" s="98"/>
      <c r="M82" s="98"/>
      <c r="N82" s="98"/>
      <c r="O82" s="98"/>
      <c r="P82" s="98"/>
      <c r="Q82" s="98"/>
      <c r="R82" s="98"/>
      <c r="S82" s="98"/>
      <c r="T82" s="98"/>
      <c r="U82" s="98"/>
      <c r="V82" s="98"/>
      <c r="W82" s="98"/>
      <c r="X82" s="98"/>
      <c r="Y82" s="98"/>
      <c r="Z82" s="98"/>
    </row>
    <row r="83" spans="1:26" s="99" customFormat="1" x14ac:dyDescent="0.35">
      <c r="A83" s="43" t="s">
        <v>177</v>
      </c>
      <c r="B83" s="43" t="s">
        <v>2724</v>
      </c>
      <c r="C83" s="162" t="s">
        <v>3422</v>
      </c>
      <c r="D83" s="162" t="s">
        <v>1162</v>
      </c>
      <c r="E83" s="43" t="s">
        <v>3408</v>
      </c>
      <c r="F83" s="43" t="s">
        <v>2335</v>
      </c>
      <c r="G83" s="98"/>
      <c r="H83" s="98"/>
      <c r="I83" s="98"/>
      <c r="J83" s="98"/>
      <c r="K83" s="98"/>
      <c r="L83" s="98"/>
      <c r="M83" s="98"/>
      <c r="N83" s="98"/>
      <c r="O83" s="98"/>
      <c r="P83" s="98"/>
      <c r="Q83" s="98"/>
      <c r="R83" s="98"/>
      <c r="S83" s="98"/>
      <c r="T83" s="98"/>
      <c r="U83" s="98"/>
      <c r="V83" s="98"/>
      <c r="W83" s="98"/>
      <c r="X83" s="98"/>
      <c r="Y83" s="98"/>
      <c r="Z83" s="98"/>
    </row>
    <row r="84" spans="1:26" s="99" customFormat="1" x14ac:dyDescent="0.35">
      <c r="A84" s="43" t="s">
        <v>190</v>
      </c>
      <c r="B84" s="43" t="s">
        <v>2698</v>
      </c>
      <c r="C84" s="162">
        <v>1</v>
      </c>
      <c r="D84" s="162">
        <v>0</v>
      </c>
      <c r="E84" s="43" t="s">
        <v>3408</v>
      </c>
      <c r="F84" s="43" t="s">
        <v>2335</v>
      </c>
      <c r="G84" s="98"/>
      <c r="H84" s="98"/>
      <c r="I84" s="98"/>
      <c r="J84" s="98"/>
      <c r="K84" s="98"/>
      <c r="L84" s="98"/>
      <c r="M84" s="98"/>
      <c r="N84" s="98"/>
      <c r="O84" s="98"/>
      <c r="P84" s="98"/>
      <c r="Q84" s="98"/>
      <c r="R84" s="98"/>
      <c r="S84" s="98"/>
      <c r="T84" s="98"/>
      <c r="U84" s="98"/>
      <c r="V84" s="98"/>
      <c r="W84" s="98"/>
      <c r="X84" s="98"/>
      <c r="Y84" s="98"/>
      <c r="Z84" s="98"/>
    </row>
    <row r="85" spans="1:26" s="99" customFormat="1" x14ac:dyDescent="0.35">
      <c r="A85" s="43" t="s">
        <v>190</v>
      </c>
      <c r="B85" s="43" t="s">
        <v>2712</v>
      </c>
      <c r="C85" s="162">
        <v>1</v>
      </c>
      <c r="D85" s="162">
        <v>0</v>
      </c>
      <c r="E85" s="43" t="s">
        <v>3408</v>
      </c>
      <c r="F85" s="43" t="s">
        <v>2335</v>
      </c>
      <c r="G85" s="98"/>
      <c r="H85" s="98"/>
      <c r="I85" s="98"/>
      <c r="J85" s="98"/>
      <c r="K85" s="98"/>
      <c r="L85" s="98"/>
      <c r="M85" s="98"/>
      <c r="N85" s="98"/>
      <c r="O85" s="98"/>
      <c r="P85" s="98"/>
      <c r="Q85" s="98"/>
      <c r="R85" s="98"/>
      <c r="S85" s="98"/>
      <c r="T85" s="98"/>
      <c r="U85" s="98"/>
      <c r="V85" s="98"/>
      <c r="W85" s="98"/>
      <c r="X85" s="98"/>
      <c r="Y85" s="98"/>
      <c r="Z85" s="98"/>
    </row>
    <row r="86" spans="1:26" s="99" customFormat="1" x14ac:dyDescent="0.35">
      <c r="A86" s="43" t="s">
        <v>190</v>
      </c>
      <c r="B86" s="43" t="s">
        <v>2724</v>
      </c>
      <c r="C86" s="162">
        <v>1</v>
      </c>
      <c r="D86" s="162">
        <v>0</v>
      </c>
      <c r="E86" s="43" t="s">
        <v>3408</v>
      </c>
      <c r="F86" s="43" t="s">
        <v>2335</v>
      </c>
      <c r="G86" s="98"/>
      <c r="H86" s="98"/>
      <c r="I86" s="98"/>
      <c r="J86" s="98"/>
      <c r="K86" s="98"/>
      <c r="L86" s="98"/>
      <c r="M86" s="98"/>
      <c r="N86" s="98"/>
      <c r="O86" s="98"/>
      <c r="P86" s="98"/>
      <c r="Q86" s="98"/>
      <c r="R86" s="98"/>
      <c r="S86" s="98"/>
      <c r="T86" s="98"/>
      <c r="U86" s="98"/>
      <c r="V86" s="98"/>
      <c r="W86" s="98"/>
      <c r="X86" s="98"/>
      <c r="Y86" s="98"/>
      <c r="Z86" s="98"/>
    </row>
    <row r="87" spans="1:26" s="99" customFormat="1" x14ac:dyDescent="0.35">
      <c r="A87" s="43" t="s">
        <v>189</v>
      </c>
      <c r="B87" s="43" t="s">
        <v>2698</v>
      </c>
      <c r="C87" s="162">
        <v>0</v>
      </c>
      <c r="D87" s="162">
        <v>1</v>
      </c>
      <c r="E87" s="43" t="s">
        <v>3408</v>
      </c>
      <c r="F87" s="43" t="s">
        <v>2335</v>
      </c>
      <c r="G87" s="98"/>
      <c r="H87" s="98"/>
      <c r="I87" s="98"/>
      <c r="J87" s="98"/>
      <c r="K87" s="98"/>
      <c r="L87" s="98"/>
      <c r="M87" s="98"/>
      <c r="N87" s="98"/>
      <c r="O87" s="98"/>
      <c r="P87" s="98"/>
      <c r="Q87" s="98"/>
      <c r="R87" s="98"/>
      <c r="S87" s="98"/>
      <c r="T87" s="98"/>
      <c r="U87" s="98"/>
      <c r="V87" s="98"/>
      <c r="W87" s="98"/>
      <c r="X87" s="98"/>
      <c r="Y87" s="98"/>
      <c r="Z87" s="98"/>
    </row>
    <row r="88" spans="1:26" s="99" customFormat="1" x14ac:dyDescent="0.35">
      <c r="A88" s="43" t="s">
        <v>189</v>
      </c>
      <c r="B88" s="43" t="s">
        <v>2712</v>
      </c>
      <c r="C88" s="162">
        <v>0</v>
      </c>
      <c r="D88" s="162">
        <v>1</v>
      </c>
      <c r="E88" s="43" t="s">
        <v>3408</v>
      </c>
      <c r="F88" s="43" t="s">
        <v>2335</v>
      </c>
      <c r="G88" s="98"/>
      <c r="H88" s="98"/>
      <c r="I88" s="98"/>
      <c r="J88" s="98"/>
      <c r="K88" s="98"/>
      <c r="L88" s="98"/>
      <c r="M88" s="98"/>
      <c r="N88" s="98"/>
      <c r="O88" s="98"/>
      <c r="P88" s="98"/>
      <c r="Q88" s="98"/>
      <c r="R88" s="98"/>
      <c r="S88" s="98"/>
      <c r="T88" s="98"/>
      <c r="U88" s="98"/>
      <c r="V88" s="98"/>
      <c r="W88" s="98"/>
      <c r="X88" s="98"/>
      <c r="Y88" s="98"/>
      <c r="Z88" s="98"/>
    </row>
    <row r="89" spans="1:26" s="99" customFormat="1" x14ac:dyDescent="0.35">
      <c r="A89" s="43" t="s">
        <v>189</v>
      </c>
      <c r="B89" s="43" t="s">
        <v>2724</v>
      </c>
      <c r="C89" s="162">
        <v>0</v>
      </c>
      <c r="D89" s="162">
        <v>1</v>
      </c>
      <c r="E89" s="43" t="s">
        <v>3408</v>
      </c>
      <c r="F89" s="43" t="s">
        <v>2335</v>
      </c>
      <c r="G89" s="98"/>
      <c r="H89" s="98"/>
      <c r="I89" s="98"/>
      <c r="J89" s="98"/>
      <c r="K89" s="98"/>
      <c r="L89" s="98"/>
      <c r="M89" s="98"/>
      <c r="N89" s="98"/>
      <c r="O89" s="98"/>
      <c r="P89" s="98"/>
      <c r="Q89" s="98"/>
      <c r="R89" s="98"/>
      <c r="S89" s="98"/>
      <c r="T89" s="98"/>
      <c r="U89" s="98"/>
      <c r="V89" s="98"/>
      <c r="W89" s="98"/>
      <c r="X89" s="98"/>
      <c r="Y89" s="98"/>
      <c r="Z89" s="98"/>
    </row>
    <row r="90" spans="1:26" s="99" customFormat="1" x14ac:dyDescent="0.35">
      <c r="A90" s="43" t="s">
        <v>2698</v>
      </c>
      <c r="B90" s="43" t="s">
        <v>2698</v>
      </c>
      <c r="C90" s="162" t="s">
        <v>3423</v>
      </c>
      <c r="D90" s="162" t="s">
        <v>3403</v>
      </c>
      <c r="E90" s="43" t="s">
        <v>3408</v>
      </c>
      <c r="F90" s="43" t="s">
        <v>2335</v>
      </c>
      <c r="G90" s="98"/>
      <c r="H90" s="98"/>
      <c r="I90" s="98"/>
      <c r="J90" s="98"/>
      <c r="K90" s="98"/>
      <c r="L90" s="98"/>
      <c r="M90" s="98"/>
      <c r="N90" s="98"/>
      <c r="O90" s="98"/>
      <c r="P90" s="98"/>
      <c r="Q90" s="98"/>
      <c r="R90" s="98"/>
      <c r="S90" s="98"/>
      <c r="T90" s="98"/>
      <c r="U90" s="98"/>
      <c r="V90" s="98"/>
      <c r="W90" s="98"/>
      <c r="X90" s="98"/>
      <c r="Y90" s="98"/>
      <c r="Z90" s="98"/>
    </row>
    <row r="91" spans="1:26" s="99" customFormat="1" x14ac:dyDescent="0.35">
      <c r="A91" s="43" t="s">
        <v>2712</v>
      </c>
      <c r="B91" s="43" t="s">
        <v>2712</v>
      </c>
      <c r="C91" s="162" t="s">
        <v>3424</v>
      </c>
      <c r="D91" s="162" t="s">
        <v>3403</v>
      </c>
      <c r="E91" s="43" t="s">
        <v>3408</v>
      </c>
      <c r="F91" s="43" t="s">
        <v>2335</v>
      </c>
      <c r="G91" s="98"/>
      <c r="H91" s="98"/>
      <c r="I91" s="98"/>
      <c r="J91" s="98"/>
      <c r="K91" s="98"/>
      <c r="L91" s="98"/>
      <c r="M91" s="98"/>
      <c r="N91" s="98"/>
      <c r="O91" s="98"/>
      <c r="P91" s="98"/>
      <c r="Q91" s="98"/>
      <c r="R91" s="98"/>
      <c r="S91" s="98"/>
      <c r="T91" s="98"/>
      <c r="U91" s="98"/>
      <c r="V91" s="98"/>
      <c r="W91" s="98"/>
      <c r="X91" s="98"/>
      <c r="Y91" s="98"/>
      <c r="Z91" s="98"/>
    </row>
    <row r="92" spans="1:26" s="99" customFormat="1" x14ac:dyDescent="0.35">
      <c r="A92" s="43" t="s">
        <v>2724</v>
      </c>
      <c r="B92" s="43" t="s">
        <v>2724</v>
      </c>
      <c r="C92" s="162" t="s">
        <v>3425</v>
      </c>
      <c r="D92" s="162" t="s">
        <v>3403</v>
      </c>
      <c r="E92" s="43" t="s">
        <v>3408</v>
      </c>
      <c r="F92" s="43" t="s">
        <v>2335</v>
      </c>
      <c r="G92" s="98"/>
      <c r="H92" s="98"/>
      <c r="I92" s="98"/>
      <c r="J92" s="98"/>
      <c r="K92" s="98"/>
      <c r="L92" s="98"/>
      <c r="M92" s="98"/>
      <c r="N92" s="98"/>
      <c r="O92" s="98"/>
      <c r="P92" s="98"/>
      <c r="Q92" s="98"/>
      <c r="R92" s="98"/>
      <c r="S92" s="98"/>
      <c r="T92" s="98"/>
      <c r="U92" s="98"/>
      <c r="V92" s="98"/>
      <c r="W92" s="98"/>
      <c r="X92" s="98"/>
      <c r="Y92" s="98"/>
      <c r="Z92" s="98"/>
    </row>
    <row r="93" spans="1:26" s="99" customFormat="1" x14ac:dyDescent="0.35">
      <c r="A93" s="43" t="s">
        <v>294</v>
      </c>
      <c r="B93" s="43" t="s">
        <v>2736</v>
      </c>
      <c r="C93" s="162" t="s">
        <v>1154</v>
      </c>
      <c r="D93" s="162" t="s">
        <v>1162</v>
      </c>
      <c r="E93" s="43" t="s">
        <v>3408</v>
      </c>
      <c r="F93" s="43" t="s">
        <v>2335</v>
      </c>
      <c r="G93" s="98"/>
      <c r="H93" s="98"/>
      <c r="I93" s="98"/>
      <c r="J93" s="98"/>
      <c r="K93" s="98"/>
      <c r="L93" s="98"/>
      <c r="M93" s="98"/>
      <c r="N93" s="98"/>
      <c r="O93" s="98"/>
      <c r="P93" s="98"/>
      <c r="Q93" s="98"/>
      <c r="R93" s="98"/>
      <c r="S93" s="98"/>
      <c r="T93" s="98"/>
      <c r="U93" s="98"/>
      <c r="V93" s="98"/>
      <c r="W93" s="98"/>
      <c r="X93" s="98"/>
      <c r="Y93" s="98"/>
      <c r="Z93" s="98"/>
    </row>
    <row r="94" spans="1:26" s="99" customFormat="1" x14ac:dyDescent="0.35">
      <c r="A94" s="43" t="s">
        <v>298</v>
      </c>
      <c r="B94" s="43" t="s">
        <v>2736</v>
      </c>
      <c r="C94" s="162">
        <v>1</v>
      </c>
      <c r="D94" s="162">
        <v>0</v>
      </c>
      <c r="E94" s="43" t="s">
        <v>3408</v>
      </c>
      <c r="F94" s="43" t="s">
        <v>2335</v>
      </c>
      <c r="G94" s="98"/>
      <c r="H94" s="98"/>
      <c r="I94" s="98"/>
      <c r="J94" s="98"/>
      <c r="K94" s="98"/>
      <c r="L94" s="98"/>
      <c r="M94" s="98"/>
      <c r="N94" s="98"/>
      <c r="O94" s="98"/>
      <c r="P94" s="98"/>
      <c r="Q94" s="98"/>
      <c r="R94" s="98"/>
      <c r="S94" s="98"/>
      <c r="T94" s="98"/>
      <c r="U94" s="98"/>
      <c r="V94" s="98"/>
      <c r="W94" s="98"/>
      <c r="X94" s="98"/>
      <c r="Y94" s="98"/>
      <c r="Z94" s="98"/>
    </row>
    <row r="95" spans="1:26" s="99" customFormat="1" x14ac:dyDescent="0.35">
      <c r="A95" s="43" t="s">
        <v>297</v>
      </c>
      <c r="B95" s="43" t="s">
        <v>2736</v>
      </c>
      <c r="C95" s="162">
        <v>0</v>
      </c>
      <c r="D95" s="162">
        <v>1</v>
      </c>
      <c r="E95" s="43" t="s">
        <v>3408</v>
      </c>
      <c r="F95" s="43" t="s">
        <v>2335</v>
      </c>
      <c r="G95" s="98"/>
      <c r="H95" s="98"/>
      <c r="I95" s="98"/>
      <c r="J95" s="98"/>
      <c r="K95" s="98"/>
      <c r="L95" s="98"/>
      <c r="M95" s="98"/>
      <c r="N95" s="98"/>
      <c r="O95" s="98"/>
      <c r="P95" s="98"/>
      <c r="Q95" s="98"/>
      <c r="R95" s="98"/>
      <c r="S95" s="98"/>
      <c r="T95" s="98"/>
      <c r="U95" s="98"/>
      <c r="V95" s="98"/>
      <c r="W95" s="98"/>
      <c r="X95" s="98"/>
      <c r="Y95" s="98"/>
      <c r="Z95" s="98"/>
    </row>
    <row r="96" spans="1:26" s="99" customFormat="1" x14ac:dyDescent="0.35">
      <c r="A96" s="43" t="s">
        <v>300</v>
      </c>
      <c r="B96" s="43" t="s">
        <v>2736</v>
      </c>
      <c r="C96" s="162" t="s">
        <v>3426</v>
      </c>
      <c r="D96" s="162" t="s">
        <v>3403</v>
      </c>
      <c r="E96" s="43" t="s">
        <v>3408</v>
      </c>
      <c r="F96" s="43" t="s">
        <v>2335</v>
      </c>
      <c r="G96" s="98"/>
      <c r="H96" s="98"/>
      <c r="I96" s="98"/>
      <c r="J96" s="98"/>
      <c r="K96" s="98"/>
      <c r="L96" s="98"/>
      <c r="M96" s="98"/>
      <c r="N96" s="98"/>
      <c r="O96" s="98"/>
      <c r="P96" s="98"/>
      <c r="Q96" s="98"/>
      <c r="R96" s="98"/>
      <c r="S96" s="98"/>
      <c r="T96" s="98"/>
      <c r="U96" s="98"/>
      <c r="V96" s="98"/>
      <c r="W96" s="98"/>
      <c r="X96" s="98"/>
      <c r="Y96" s="98"/>
      <c r="Z96" s="98"/>
    </row>
    <row r="97" spans="1:26" s="99" customFormat="1" x14ac:dyDescent="0.35">
      <c r="A97" s="43" t="s">
        <v>648</v>
      </c>
      <c r="B97" s="43" t="s">
        <v>2730</v>
      </c>
      <c r="C97" s="162" t="s">
        <v>1154</v>
      </c>
      <c r="D97" s="162" t="s">
        <v>1171</v>
      </c>
      <c r="E97" s="43" t="s">
        <v>3406</v>
      </c>
      <c r="F97" s="43" t="s">
        <v>2793</v>
      </c>
      <c r="G97" s="98"/>
      <c r="H97" s="98"/>
      <c r="I97" s="98"/>
      <c r="J97" s="98"/>
      <c r="K97" s="98"/>
      <c r="L97" s="98"/>
      <c r="M97" s="98"/>
      <c r="N97" s="98"/>
      <c r="O97" s="98"/>
      <c r="P97" s="98"/>
      <c r="Q97" s="98"/>
      <c r="R97" s="98"/>
      <c r="S97" s="98"/>
      <c r="T97" s="98"/>
      <c r="U97" s="98"/>
      <c r="V97" s="98"/>
      <c r="W97" s="98"/>
      <c r="X97" s="98"/>
      <c r="Y97" s="98"/>
      <c r="Z97" s="98"/>
    </row>
    <row r="98" spans="1:26" s="99" customFormat="1" x14ac:dyDescent="0.35">
      <c r="A98" s="43" t="s">
        <v>649</v>
      </c>
      <c r="B98" s="43" t="s">
        <v>2730</v>
      </c>
      <c r="C98" s="162" t="s">
        <v>3427</v>
      </c>
      <c r="D98" s="162" t="s">
        <v>3403</v>
      </c>
      <c r="E98" s="43" t="s">
        <v>3406</v>
      </c>
      <c r="F98" s="43" t="s">
        <v>2793</v>
      </c>
      <c r="G98" s="98"/>
      <c r="H98" s="98"/>
      <c r="I98" s="98"/>
      <c r="J98" s="98"/>
      <c r="K98" s="98"/>
      <c r="L98" s="98"/>
      <c r="M98" s="98"/>
      <c r="N98" s="98"/>
      <c r="O98" s="98"/>
      <c r="P98" s="98"/>
      <c r="Q98" s="98"/>
      <c r="R98" s="98"/>
      <c r="S98" s="98"/>
      <c r="T98" s="98"/>
      <c r="U98" s="98"/>
      <c r="V98" s="98"/>
      <c r="W98" s="98"/>
      <c r="X98" s="98"/>
      <c r="Y98" s="98"/>
      <c r="Z98" s="98"/>
    </row>
    <row r="99" spans="1:26" s="99" customFormat="1" x14ac:dyDescent="0.35">
      <c r="A99" s="43" t="s">
        <v>678</v>
      </c>
      <c r="B99" s="43" t="s">
        <v>2439</v>
      </c>
      <c r="C99" s="162" t="s">
        <v>3428</v>
      </c>
      <c r="D99" s="162" t="s">
        <v>3403</v>
      </c>
      <c r="E99" s="43" t="s">
        <v>3429</v>
      </c>
      <c r="F99" s="43" t="s">
        <v>2793</v>
      </c>
      <c r="G99" s="98"/>
      <c r="H99" s="98"/>
      <c r="I99" s="98"/>
      <c r="J99" s="98"/>
      <c r="K99" s="98"/>
      <c r="L99" s="98"/>
      <c r="M99" s="98"/>
      <c r="N99" s="98"/>
      <c r="O99" s="98"/>
      <c r="P99" s="98"/>
      <c r="Q99" s="98"/>
      <c r="R99" s="98"/>
      <c r="S99" s="98"/>
      <c r="T99" s="98"/>
      <c r="U99" s="98"/>
      <c r="V99" s="98"/>
      <c r="W99" s="98"/>
      <c r="X99" s="98"/>
      <c r="Y99" s="98"/>
      <c r="Z99" s="98"/>
    </row>
    <row r="100" spans="1:26" s="99" customFormat="1" x14ac:dyDescent="0.35">
      <c r="A100" s="43" t="s">
        <v>678</v>
      </c>
      <c r="B100" s="43" t="s">
        <v>2447</v>
      </c>
      <c r="C100" s="162" t="s">
        <v>3430</v>
      </c>
      <c r="D100" s="162" t="s">
        <v>3403</v>
      </c>
      <c r="E100" s="43" t="s">
        <v>3429</v>
      </c>
      <c r="F100" s="43" t="s">
        <v>2793</v>
      </c>
      <c r="G100" s="98"/>
      <c r="H100" s="98"/>
      <c r="I100" s="98"/>
      <c r="J100" s="98"/>
      <c r="K100" s="98"/>
      <c r="L100" s="98"/>
      <c r="M100" s="98"/>
      <c r="N100" s="98"/>
      <c r="O100" s="98"/>
      <c r="P100" s="98"/>
      <c r="Q100" s="98"/>
      <c r="R100" s="98"/>
      <c r="S100" s="98"/>
      <c r="T100" s="98"/>
      <c r="U100" s="98"/>
      <c r="V100" s="98"/>
      <c r="W100" s="98"/>
      <c r="X100" s="98"/>
      <c r="Y100" s="98"/>
      <c r="Z100" s="98"/>
    </row>
    <row r="101" spans="1:26" s="99" customFormat="1" x14ac:dyDescent="0.35">
      <c r="A101" s="43" t="s">
        <v>678</v>
      </c>
      <c r="B101" s="43" t="s">
        <v>2454</v>
      </c>
      <c r="C101" s="162" t="s">
        <v>3431</v>
      </c>
      <c r="D101" s="162" t="s">
        <v>3403</v>
      </c>
      <c r="E101" s="43" t="s">
        <v>3429</v>
      </c>
      <c r="F101" s="43" t="s">
        <v>2793</v>
      </c>
      <c r="G101" s="98"/>
      <c r="H101" s="98"/>
      <c r="I101" s="98"/>
      <c r="J101" s="98"/>
      <c r="K101" s="98"/>
      <c r="L101" s="98"/>
      <c r="M101" s="98"/>
      <c r="N101" s="98"/>
      <c r="O101" s="98"/>
      <c r="P101" s="98"/>
      <c r="Q101" s="98"/>
      <c r="R101" s="98"/>
      <c r="S101" s="98"/>
      <c r="T101" s="98"/>
      <c r="U101" s="98"/>
      <c r="V101" s="98"/>
      <c r="W101" s="98"/>
      <c r="X101" s="98"/>
      <c r="Y101" s="98"/>
      <c r="Z101" s="98"/>
    </row>
    <row r="102" spans="1:26" s="99" customFormat="1" x14ac:dyDescent="0.35">
      <c r="A102" s="43" t="s">
        <v>678</v>
      </c>
      <c r="B102" s="43" t="s">
        <v>2460</v>
      </c>
      <c r="C102" s="162" t="s">
        <v>3428</v>
      </c>
      <c r="D102" s="162" t="s">
        <v>3403</v>
      </c>
      <c r="E102" s="43" t="s">
        <v>3429</v>
      </c>
      <c r="F102" s="43" t="s">
        <v>2793</v>
      </c>
      <c r="G102" s="98"/>
      <c r="H102" s="98"/>
      <c r="I102" s="98"/>
      <c r="J102" s="98"/>
      <c r="K102" s="98"/>
      <c r="L102" s="98"/>
      <c r="M102" s="98"/>
      <c r="N102" s="98"/>
      <c r="O102" s="98"/>
      <c r="P102" s="98"/>
      <c r="Q102" s="98"/>
      <c r="R102" s="98"/>
      <c r="S102" s="98"/>
      <c r="T102" s="98"/>
      <c r="U102" s="98"/>
      <c r="V102" s="98"/>
      <c r="W102" s="98"/>
      <c r="X102" s="98"/>
      <c r="Y102" s="98"/>
      <c r="Z102" s="98"/>
    </row>
    <row r="103" spans="1:26" s="99" customFormat="1" x14ac:dyDescent="0.35">
      <c r="A103" s="43" t="s">
        <v>678</v>
      </c>
      <c r="B103" s="43" t="s">
        <v>2473</v>
      </c>
      <c r="C103" s="162" t="s">
        <v>3432</v>
      </c>
      <c r="D103" s="162" t="s">
        <v>3403</v>
      </c>
      <c r="E103" s="43" t="s">
        <v>3429</v>
      </c>
      <c r="F103" s="43" t="s">
        <v>2793</v>
      </c>
      <c r="G103" s="98"/>
      <c r="H103" s="98"/>
      <c r="I103" s="98"/>
      <c r="J103" s="98"/>
      <c r="K103" s="98"/>
      <c r="L103" s="98"/>
      <c r="M103" s="98"/>
      <c r="N103" s="98"/>
      <c r="O103" s="98"/>
      <c r="P103" s="98"/>
      <c r="Q103" s="98"/>
      <c r="R103" s="98"/>
      <c r="S103" s="98"/>
      <c r="T103" s="98"/>
      <c r="U103" s="98"/>
      <c r="V103" s="98"/>
      <c r="W103" s="98"/>
      <c r="X103" s="98"/>
      <c r="Y103" s="98"/>
      <c r="Z103" s="98"/>
    </row>
    <row r="104" spans="1:26" s="99" customFormat="1" x14ac:dyDescent="0.35">
      <c r="A104" s="43" t="s">
        <v>678</v>
      </c>
      <c r="B104" s="43" t="s">
        <v>2702</v>
      </c>
      <c r="C104" s="162" t="s">
        <v>3433</v>
      </c>
      <c r="D104" s="162" t="s">
        <v>3403</v>
      </c>
      <c r="E104" s="43" t="s">
        <v>3429</v>
      </c>
      <c r="F104" s="43" t="s">
        <v>2793</v>
      </c>
      <c r="G104" s="98"/>
      <c r="H104" s="98"/>
      <c r="I104" s="98"/>
      <c r="J104" s="98"/>
      <c r="K104" s="98"/>
      <c r="L104" s="98"/>
      <c r="M104" s="98"/>
      <c r="N104" s="98"/>
      <c r="O104" s="98"/>
      <c r="P104" s="98"/>
      <c r="Q104" s="98"/>
      <c r="R104" s="98"/>
      <c r="S104" s="98"/>
      <c r="T104" s="98"/>
      <c r="U104" s="98"/>
      <c r="V104" s="98"/>
      <c r="W104" s="98"/>
      <c r="X104" s="98"/>
      <c r="Y104" s="98"/>
      <c r="Z104" s="98"/>
    </row>
    <row r="105" spans="1:26" s="99" customFormat="1" x14ac:dyDescent="0.35">
      <c r="A105" s="43" t="s">
        <v>678</v>
      </c>
      <c r="B105" s="43" t="s">
        <v>2717</v>
      </c>
      <c r="C105" s="162" t="s">
        <v>3433</v>
      </c>
      <c r="D105" s="162" t="s">
        <v>3403</v>
      </c>
      <c r="E105" s="43" t="s">
        <v>3429</v>
      </c>
      <c r="F105" s="43" t="s">
        <v>2793</v>
      </c>
      <c r="G105" s="98"/>
      <c r="H105" s="98"/>
      <c r="I105" s="98"/>
      <c r="J105" s="98"/>
      <c r="K105" s="98"/>
      <c r="L105" s="98"/>
      <c r="M105" s="98"/>
      <c r="N105" s="98"/>
      <c r="O105" s="98"/>
      <c r="P105" s="98"/>
      <c r="Q105" s="98"/>
      <c r="R105" s="98"/>
      <c r="S105" s="98"/>
      <c r="T105" s="98"/>
      <c r="U105" s="98"/>
      <c r="V105" s="98"/>
      <c r="W105" s="98"/>
      <c r="X105" s="98"/>
      <c r="Y105" s="98"/>
      <c r="Z105" s="98"/>
    </row>
    <row r="106" spans="1:26" s="99" customFormat="1" x14ac:dyDescent="0.35">
      <c r="A106" s="43" t="s">
        <v>678</v>
      </c>
      <c r="B106" s="43" t="s">
        <v>2730</v>
      </c>
      <c r="C106" s="162" t="s">
        <v>3433</v>
      </c>
      <c r="D106" s="162" t="s">
        <v>3403</v>
      </c>
      <c r="E106" s="43" t="s">
        <v>3429</v>
      </c>
      <c r="F106" s="43" t="s">
        <v>2793</v>
      </c>
      <c r="G106" s="98"/>
      <c r="H106" s="98"/>
      <c r="I106" s="98"/>
      <c r="J106" s="98"/>
      <c r="K106" s="98"/>
      <c r="L106" s="98"/>
      <c r="M106" s="98"/>
      <c r="N106" s="98"/>
      <c r="O106" s="98"/>
      <c r="P106" s="98"/>
      <c r="Q106" s="98"/>
      <c r="R106" s="98"/>
      <c r="S106" s="98"/>
      <c r="T106" s="98"/>
      <c r="U106" s="98"/>
      <c r="V106" s="98"/>
      <c r="W106" s="98"/>
      <c r="X106" s="98"/>
      <c r="Y106" s="98"/>
      <c r="Z106" s="98"/>
    </row>
    <row r="107" spans="1:26" s="99" customFormat="1" x14ac:dyDescent="0.35">
      <c r="A107" s="43" t="s">
        <v>659</v>
      </c>
      <c r="B107" s="43" t="s">
        <v>2439</v>
      </c>
      <c r="C107" s="162" t="s">
        <v>3422</v>
      </c>
      <c r="D107" s="162" t="s">
        <v>3434</v>
      </c>
      <c r="E107" s="43" t="s">
        <v>3406</v>
      </c>
      <c r="F107" s="43" t="s">
        <v>2335</v>
      </c>
      <c r="G107" s="98"/>
      <c r="H107" s="98"/>
      <c r="I107" s="98"/>
      <c r="J107" s="98"/>
      <c r="K107" s="98"/>
      <c r="L107" s="98"/>
      <c r="M107" s="98"/>
      <c r="N107" s="98"/>
      <c r="O107" s="98"/>
      <c r="P107" s="98"/>
      <c r="Q107" s="98"/>
      <c r="R107" s="98"/>
      <c r="S107" s="98"/>
      <c r="T107" s="98"/>
      <c r="U107" s="98"/>
      <c r="V107" s="98"/>
      <c r="W107" s="98"/>
      <c r="X107" s="98"/>
      <c r="Y107" s="98"/>
      <c r="Z107" s="98"/>
    </row>
    <row r="108" spans="1:26" s="99" customFormat="1" x14ac:dyDescent="0.35">
      <c r="A108" s="43" t="s">
        <v>665</v>
      </c>
      <c r="B108" s="43" t="s">
        <v>2439</v>
      </c>
      <c r="C108" s="162">
        <v>0</v>
      </c>
      <c r="D108" s="162">
        <v>1</v>
      </c>
      <c r="E108" s="43" t="s">
        <v>3406</v>
      </c>
      <c r="F108" s="43" t="s">
        <v>2335</v>
      </c>
      <c r="G108" s="98"/>
      <c r="H108" s="98"/>
      <c r="I108" s="98"/>
      <c r="J108" s="98"/>
      <c r="K108" s="98"/>
      <c r="L108" s="98"/>
      <c r="M108" s="98"/>
      <c r="N108" s="98"/>
      <c r="O108" s="98"/>
      <c r="P108" s="98"/>
      <c r="Q108" s="98"/>
      <c r="R108" s="98"/>
      <c r="S108" s="98"/>
      <c r="T108" s="98"/>
      <c r="U108" s="98"/>
      <c r="V108" s="98"/>
      <c r="W108" s="98"/>
      <c r="X108" s="98"/>
      <c r="Y108" s="98"/>
      <c r="Z108" s="98"/>
    </row>
    <row r="109" spans="1:26" s="99" customFormat="1" x14ac:dyDescent="0.35">
      <c r="A109" s="43" t="s">
        <v>659</v>
      </c>
      <c r="B109" s="43" t="s">
        <v>2447</v>
      </c>
      <c r="C109" s="162" t="s">
        <v>3422</v>
      </c>
      <c r="D109" s="162" t="s">
        <v>3434</v>
      </c>
      <c r="E109" s="43" t="s">
        <v>3406</v>
      </c>
      <c r="F109" s="43" t="s">
        <v>2335</v>
      </c>
      <c r="G109" s="98"/>
      <c r="H109" s="98"/>
      <c r="I109" s="98"/>
      <c r="J109" s="98"/>
      <c r="K109" s="98"/>
      <c r="L109" s="98"/>
      <c r="M109" s="98"/>
      <c r="N109" s="98"/>
      <c r="O109" s="98"/>
      <c r="P109" s="98"/>
      <c r="Q109" s="98"/>
      <c r="R109" s="98"/>
      <c r="S109" s="98"/>
      <c r="T109" s="98"/>
      <c r="U109" s="98"/>
      <c r="V109" s="98"/>
      <c r="W109" s="98"/>
      <c r="X109" s="98"/>
      <c r="Y109" s="98"/>
      <c r="Z109" s="98"/>
    </row>
    <row r="110" spans="1:26" s="99" customFormat="1" x14ac:dyDescent="0.35">
      <c r="A110" s="43" t="s">
        <v>665</v>
      </c>
      <c r="B110" s="43" t="s">
        <v>2447</v>
      </c>
      <c r="C110" s="162">
        <v>0</v>
      </c>
      <c r="D110" s="162">
        <v>1</v>
      </c>
      <c r="E110" s="43" t="s">
        <v>3406</v>
      </c>
      <c r="F110" s="43" t="s">
        <v>2335</v>
      </c>
      <c r="G110" s="98"/>
      <c r="H110" s="98"/>
      <c r="I110" s="98"/>
      <c r="J110" s="98"/>
      <c r="K110" s="98"/>
      <c r="L110" s="98"/>
      <c r="M110" s="98"/>
      <c r="N110" s="98"/>
      <c r="O110" s="98"/>
      <c r="P110" s="98"/>
      <c r="Q110" s="98"/>
      <c r="R110" s="98"/>
      <c r="S110" s="98"/>
      <c r="T110" s="98"/>
      <c r="U110" s="98"/>
      <c r="V110" s="98"/>
      <c r="W110" s="98"/>
      <c r="X110" s="98"/>
      <c r="Y110" s="98"/>
      <c r="Z110" s="98"/>
    </row>
    <row r="111" spans="1:26" s="99" customFormat="1" x14ac:dyDescent="0.35">
      <c r="A111" s="43" t="s">
        <v>659</v>
      </c>
      <c r="B111" s="43" t="s">
        <v>2454</v>
      </c>
      <c r="C111" s="162" t="s">
        <v>2396</v>
      </c>
      <c r="D111" s="162" t="s">
        <v>2827</v>
      </c>
      <c r="E111" s="43" t="s">
        <v>3406</v>
      </c>
      <c r="F111" s="43" t="s">
        <v>2335</v>
      </c>
      <c r="G111" s="98"/>
      <c r="H111" s="98"/>
      <c r="I111" s="98"/>
      <c r="J111" s="98"/>
      <c r="K111" s="98"/>
      <c r="L111" s="98"/>
      <c r="M111" s="98"/>
      <c r="N111" s="98"/>
      <c r="O111" s="98"/>
      <c r="P111" s="98"/>
      <c r="Q111" s="98"/>
      <c r="R111" s="98"/>
      <c r="S111" s="98"/>
      <c r="T111" s="98"/>
      <c r="U111" s="98"/>
      <c r="V111" s="98"/>
      <c r="W111" s="98"/>
      <c r="X111" s="98"/>
      <c r="Y111" s="98"/>
      <c r="Z111" s="98"/>
    </row>
    <row r="112" spans="1:26" s="99" customFormat="1" x14ac:dyDescent="0.35">
      <c r="A112" s="43" t="s">
        <v>668</v>
      </c>
      <c r="B112" s="43" t="s">
        <v>2454</v>
      </c>
      <c r="C112" s="162">
        <v>1</v>
      </c>
      <c r="D112" s="162">
        <v>0</v>
      </c>
      <c r="E112" s="43" t="s">
        <v>3406</v>
      </c>
      <c r="F112" s="43" t="s">
        <v>2335</v>
      </c>
      <c r="G112" s="98"/>
      <c r="H112" s="98"/>
      <c r="I112" s="98"/>
      <c r="J112" s="98"/>
      <c r="K112" s="98"/>
      <c r="L112" s="98"/>
      <c r="M112" s="98"/>
      <c r="N112" s="98"/>
      <c r="O112" s="98"/>
      <c r="P112" s="98"/>
      <c r="Q112" s="98"/>
      <c r="R112" s="98"/>
      <c r="S112" s="98"/>
      <c r="T112" s="98"/>
      <c r="U112" s="98"/>
      <c r="V112" s="98"/>
      <c r="W112" s="98"/>
      <c r="X112" s="98"/>
      <c r="Y112" s="98"/>
      <c r="Z112" s="98"/>
    </row>
    <row r="113" spans="1:26" s="99" customFormat="1" x14ac:dyDescent="0.35">
      <c r="A113" s="43" t="s">
        <v>669</v>
      </c>
      <c r="B113" s="43" t="s">
        <v>2454</v>
      </c>
      <c r="C113" s="162" t="s">
        <v>3435</v>
      </c>
      <c r="D113" s="162" t="s">
        <v>3403</v>
      </c>
      <c r="E113" s="43" t="s">
        <v>3406</v>
      </c>
      <c r="F113" s="43" t="s">
        <v>2335</v>
      </c>
      <c r="G113" s="98"/>
      <c r="H113" s="98"/>
      <c r="I113" s="98"/>
      <c r="J113" s="98"/>
      <c r="K113" s="98"/>
      <c r="L113" s="98"/>
      <c r="M113" s="98"/>
      <c r="N113" s="98"/>
      <c r="O113" s="98"/>
      <c r="P113" s="98"/>
      <c r="Q113" s="98"/>
      <c r="R113" s="98"/>
      <c r="S113" s="98"/>
      <c r="T113" s="98"/>
      <c r="U113" s="98"/>
      <c r="V113" s="98"/>
      <c r="W113" s="98"/>
      <c r="X113" s="98"/>
      <c r="Y113" s="98"/>
      <c r="Z113" s="98"/>
    </row>
    <row r="114" spans="1:26" s="99" customFormat="1" x14ac:dyDescent="0.35">
      <c r="A114" s="43" t="s">
        <v>659</v>
      </c>
      <c r="B114" s="43" t="s">
        <v>2460</v>
      </c>
      <c r="C114" s="162" t="s">
        <v>2396</v>
      </c>
      <c r="D114" s="162" t="s">
        <v>2827</v>
      </c>
      <c r="E114" s="43" t="s">
        <v>3406</v>
      </c>
      <c r="F114" s="43" t="s">
        <v>2335</v>
      </c>
      <c r="G114" s="98"/>
      <c r="H114" s="98"/>
      <c r="I114" s="98"/>
      <c r="J114" s="98"/>
      <c r="K114" s="98"/>
      <c r="L114" s="98"/>
      <c r="M114" s="98"/>
      <c r="N114" s="98"/>
      <c r="O114" s="98"/>
      <c r="P114" s="98"/>
      <c r="Q114" s="98"/>
      <c r="R114" s="98"/>
      <c r="S114" s="98"/>
      <c r="T114" s="98"/>
      <c r="U114" s="98"/>
      <c r="V114" s="98"/>
      <c r="W114" s="98"/>
      <c r="X114" s="98"/>
      <c r="Y114" s="98"/>
      <c r="Z114" s="98"/>
    </row>
    <row r="115" spans="1:26" s="99" customFormat="1" x14ac:dyDescent="0.35">
      <c r="A115" s="43" t="s">
        <v>668</v>
      </c>
      <c r="B115" s="43" t="s">
        <v>2460</v>
      </c>
      <c r="C115" s="162">
        <v>1</v>
      </c>
      <c r="D115" s="162">
        <v>0</v>
      </c>
      <c r="E115" s="43" t="s">
        <v>3406</v>
      </c>
      <c r="F115" s="43" t="s">
        <v>2335</v>
      </c>
      <c r="G115" s="98"/>
      <c r="H115" s="98"/>
      <c r="I115" s="98"/>
      <c r="J115" s="98"/>
      <c r="K115" s="98"/>
      <c r="L115" s="98"/>
      <c r="M115" s="98"/>
      <c r="N115" s="98"/>
      <c r="O115" s="98"/>
      <c r="P115" s="98"/>
      <c r="Q115" s="98"/>
      <c r="R115" s="98"/>
      <c r="S115" s="98"/>
      <c r="T115" s="98"/>
      <c r="U115" s="98"/>
      <c r="V115" s="98"/>
      <c r="W115" s="98"/>
      <c r="X115" s="98"/>
      <c r="Y115" s="98"/>
      <c r="Z115" s="98"/>
    </row>
    <row r="116" spans="1:26" s="99" customFormat="1" x14ac:dyDescent="0.35">
      <c r="A116" s="43" t="s">
        <v>669</v>
      </c>
      <c r="B116" s="43" t="s">
        <v>2460</v>
      </c>
      <c r="C116" s="162" t="s">
        <v>3436</v>
      </c>
      <c r="D116" s="162" t="s">
        <v>3403</v>
      </c>
      <c r="E116" s="43" t="s">
        <v>3406</v>
      </c>
      <c r="F116" s="43" t="s">
        <v>2335</v>
      </c>
      <c r="G116" s="98"/>
      <c r="H116" s="98"/>
      <c r="I116" s="98"/>
      <c r="J116" s="98"/>
      <c r="K116" s="98"/>
      <c r="L116" s="98"/>
      <c r="M116" s="98"/>
      <c r="N116" s="98"/>
      <c r="O116" s="98"/>
      <c r="P116" s="98"/>
      <c r="Q116" s="98"/>
      <c r="R116" s="98"/>
      <c r="S116" s="98"/>
      <c r="T116" s="98"/>
      <c r="U116" s="98"/>
      <c r="V116" s="98"/>
      <c r="W116" s="98"/>
      <c r="X116" s="98"/>
      <c r="Y116" s="98"/>
      <c r="Z116" s="98"/>
    </row>
    <row r="117" spans="1:26" s="99" customFormat="1" x14ac:dyDescent="0.35">
      <c r="A117" s="43" t="s">
        <v>659</v>
      </c>
      <c r="B117" s="43" t="s">
        <v>2702</v>
      </c>
      <c r="C117" s="162" t="s">
        <v>3422</v>
      </c>
      <c r="D117" s="162" t="s">
        <v>3434</v>
      </c>
      <c r="E117" s="43" t="s">
        <v>3406</v>
      </c>
      <c r="F117" s="43" t="s">
        <v>2335</v>
      </c>
      <c r="G117" s="98"/>
      <c r="H117" s="98"/>
      <c r="I117" s="98"/>
      <c r="J117" s="98"/>
      <c r="K117" s="98"/>
      <c r="L117" s="98"/>
      <c r="M117" s="98"/>
      <c r="N117" s="98"/>
      <c r="O117" s="98"/>
      <c r="P117" s="98"/>
      <c r="Q117" s="98"/>
      <c r="R117" s="98"/>
      <c r="S117" s="98"/>
      <c r="T117" s="98"/>
      <c r="U117" s="98"/>
      <c r="V117" s="98"/>
      <c r="W117" s="98"/>
      <c r="X117" s="98"/>
      <c r="Y117" s="98"/>
      <c r="Z117" s="98"/>
    </row>
    <row r="118" spans="1:26" s="99" customFormat="1" x14ac:dyDescent="0.35">
      <c r="A118" s="43" t="s">
        <v>665</v>
      </c>
      <c r="B118" s="43" t="s">
        <v>2702</v>
      </c>
      <c r="C118" s="162">
        <v>0</v>
      </c>
      <c r="D118" s="162">
        <v>1</v>
      </c>
      <c r="E118" s="43" t="s">
        <v>3406</v>
      </c>
      <c r="F118" s="43" t="s">
        <v>2335</v>
      </c>
      <c r="G118" s="98"/>
      <c r="H118" s="98"/>
      <c r="I118" s="98"/>
      <c r="J118" s="98"/>
      <c r="K118" s="98"/>
      <c r="L118" s="98"/>
      <c r="M118" s="98"/>
      <c r="N118" s="98"/>
      <c r="O118" s="98"/>
      <c r="P118" s="98"/>
      <c r="Q118" s="98"/>
      <c r="R118" s="98"/>
      <c r="S118" s="98"/>
      <c r="T118" s="98"/>
      <c r="U118" s="98"/>
      <c r="V118" s="98"/>
      <c r="W118" s="98"/>
      <c r="X118" s="98"/>
      <c r="Y118" s="98"/>
      <c r="Z118" s="98"/>
    </row>
    <row r="119" spans="1:26" s="99" customFormat="1" x14ac:dyDescent="0.35">
      <c r="A119" s="164" t="s">
        <v>659</v>
      </c>
      <c r="B119" s="164" t="s">
        <v>2473</v>
      </c>
      <c r="C119" s="165" t="s">
        <v>1154</v>
      </c>
      <c r="D119" s="165" t="s">
        <v>1177</v>
      </c>
      <c r="E119" s="164" t="s">
        <v>3406</v>
      </c>
      <c r="F119" s="164" t="s">
        <v>2793</v>
      </c>
      <c r="G119" s="98"/>
      <c r="H119" s="98"/>
      <c r="I119" s="98"/>
      <c r="J119" s="98"/>
      <c r="K119" s="98"/>
      <c r="L119" s="98"/>
      <c r="M119" s="98"/>
      <c r="N119" s="98"/>
      <c r="O119" s="98"/>
      <c r="P119" s="98"/>
      <c r="Q119" s="98"/>
      <c r="R119" s="98"/>
      <c r="S119" s="98"/>
      <c r="T119" s="98"/>
      <c r="U119" s="98"/>
      <c r="V119" s="98"/>
      <c r="W119" s="98"/>
      <c r="X119" s="98"/>
      <c r="Y119" s="98"/>
      <c r="Z119" s="98"/>
    </row>
    <row r="120" spans="1:26" s="99" customFormat="1" x14ac:dyDescent="0.35">
      <c r="A120" s="164" t="s">
        <v>668</v>
      </c>
      <c r="B120" s="164" t="s">
        <v>2473</v>
      </c>
      <c r="C120" s="165">
        <v>1</v>
      </c>
      <c r="D120" s="165">
        <v>0</v>
      </c>
      <c r="E120" s="164" t="s">
        <v>3406</v>
      </c>
      <c r="F120" s="164" t="s">
        <v>2793</v>
      </c>
      <c r="G120" s="98"/>
      <c r="H120" s="98"/>
      <c r="I120" s="98"/>
      <c r="J120" s="98"/>
      <c r="K120" s="98"/>
      <c r="L120" s="98"/>
      <c r="M120" s="98"/>
      <c r="N120" s="98"/>
      <c r="O120" s="98"/>
      <c r="P120" s="98"/>
      <c r="Q120" s="98"/>
      <c r="R120" s="98"/>
      <c r="S120" s="98"/>
      <c r="T120" s="98"/>
      <c r="U120" s="98"/>
      <c r="V120" s="98"/>
      <c r="W120" s="98"/>
      <c r="X120" s="98"/>
      <c r="Y120" s="98"/>
      <c r="Z120" s="98"/>
    </row>
    <row r="121" spans="1:26" s="99" customFormat="1" x14ac:dyDescent="0.35">
      <c r="A121" s="164" t="s">
        <v>1609</v>
      </c>
      <c r="B121" s="164" t="s">
        <v>2473</v>
      </c>
      <c r="C121" s="165">
        <v>0</v>
      </c>
      <c r="D121" s="165">
        <v>1</v>
      </c>
      <c r="E121" s="164" t="s">
        <v>3406</v>
      </c>
      <c r="F121" s="164" t="s">
        <v>2793</v>
      </c>
      <c r="G121" s="98"/>
      <c r="H121" s="98"/>
      <c r="I121" s="98"/>
      <c r="J121" s="98"/>
      <c r="K121" s="98"/>
      <c r="L121" s="98"/>
      <c r="M121" s="98"/>
      <c r="N121" s="98"/>
      <c r="O121" s="98"/>
      <c r="P121" s="98"/>
      <c r="Q121" s="98"/>
      <c r="R121" s="98"/>
      <c r="S121" s="98"/>
      <c r="T121" s="98"/>
      <c r="U121" s="98"/>
      <c r="V121" s="98"/>
      <c r="W121" s="98"/>
      <c r="X121" s="98"/>
      <c r="Y121" s="98"/>
      <c r="Z121" s="98"/>
    </row>
    <row r="122" spans="1:26" s="99" customFormat="1" x14ac:dyDescent="0.35">
      <c r="A122" s="164" t="s">
        <v>669</v>
      </c>
      <c r="B122" s="164" t="s">
        <v>2473</v>
      </c>
      <c r="C122" s="165" t="s">
        <v>3437</v>
      </c>
      <c r="D122" s="165" t="s">
        <v>3438</v>
      </c>
      <c r="E122" s="164" t="s">
        <v>3406</v>
      </c>
      <c r="F122" s="164" t="s">
        <v>2793</v>
      </c>
      <c r="G122" s="98"/>
      <c r="H122" s="98"/>
      <c r="I122" s="98"/>
      <c r="J122" s="98"/>
      <c r="K122" s="98"/>
      <c r="L122" s="98"/>
      <c r="M122" s="98"/>
      <c r="N122" s="98"/>
      <c r="O122" s="98"/>
      <c r="P122" s="98"/>
      <c r="Q122" s="98"/>
      <c r="R122" s="98"/>
      <c r="S122" s="98"/>
      <c r="T122" s="98"/>
      <c r="U122" s="98"/>
      <c r="V122" s="98"/>
      <c r="W122" s="98"/>
      <c r="X122" s="98"/>
      <c r="Y122" s="98"/>
      <c r="Z122" s="98"/>
    </row>
    <row r="123" spans="1:26" s="99" customFormat="1" x14ac:dyDescent="0.35">
      <c r="A123" s="43" t="s">
        <v>699</v>
      </c>
      <c r="B123" s="43" t="s">
        <v>2702</v>
      </c>
      <c r="C123" s="162">
        <v>15</v>
      </c>
      <c r="D123" s="162">
        <v>13</v>
      </c>
      <c r="E123" s="43" t="s">
        <v>3406</v>
      </c>
      <c r="F123" s="43" t="s">
        <v>2335</v>
      </c>
      <c r="G123" s="98"/>
      <c r="H123" s="98"/>
      <c r="I123" s="98"/>
      <c r="J123" s="98"/>
      <c r="K123" s="98"/>
      <c r="L123" s="98"/>
      <c r="M123" s="98"/>
      <c r="N123" s="98"/>
      <c r="O123" s="98"/>
      <c r="P123" s="98"/>
      <c r="Q123" s="98"/>
      <c r="R123" s="98"/>
      <c r="S123" s="98"/>
      <c r="T123" s="98"/>
      <c r="U123" s="98"/>
      <c r="V123" s="98"/>
      <c r="W123" s="98"/>
      <c r="X123" s="98"/>
      <c r="Y123" s="98"/>
      <c r="Z123" s="98"/>
    </row>
    <row r="124" spans="1:26" s="99" customFormat="1" x14ac:dyDescent="0.35">
      <c r="A124" s="43" t="s">
        <v>700</v>
      </c>
      <c r="B124" s="43" t="s">
        <v>2702</v>
      </c>
      <c r="C124" s="162">
        <v>13</v>
      </c>
      <c r="D124" s="162">
        <v>15</v>
      </c>
      <c r="E124" s="43" t="s">
        <v>3406</v>
      </c>
      <c r="F124" s="43" t="s">
        <v>2335</v>
      </c>
      <c r="G124" s="98"/>
      <c r="H124" s="98"/>
      <c r="I124" s="98"/>
      <c r="J124" s="98"/>
      <c r="K124" s="98"/>
      <c r="L124" s="98"/>
      <c r="M124" s="98"/>
      <c r="N124" s="98"/>
      <c r="O124" s="98"/>
      <c r="P124" s="98"/>
      <c r="Q124" s="98"/>
      <c r="R124" s="98"/>
      <c r="S124" s="98"/>
      <c r="T124" s="98"/>
      <c r="U124" s="98"/>
      <c r="V124" s="98"/>
      <c r="W124" s="98"/>
      <c r="X124" s="98"/>
      <c r="Y124" s="98"/>
      <c r="Z124" s="98"/>
    </row>
    <row r="125" spans="1:26" s="99" customFormat="1" x14ac:dyDescent="0.35">
      <c r="A125" s="43" t="s">
        <v>703</v>
      </c>
      <c r="B125" s="43" t="s">
        <v>2717</v>
      </c>
      <c r="C125" s="162" t="s">
        <v>1154</v>
      </c>
      <c r="D125" s="162" t="s">
        <v>1880</v>
      </c>
      <c r="E125" s="43" t="s">
        <v>3439</v>
      </c>
      <c r="F125" s="43" t="s">
        <v>2793</v>
      </c>
      <c r="G125" s="98"/>
      <c r="H125" s="98"/>
      <c r="I125" s="98"/>
      <c r="J125" s="98"/>
      <c r="K125" s="98"/>
      <c r="L125" s="98"/>
      <c r="M125" s="98"/>
      <c r="N125" s="98"/>
      <c r="O125" s="98"/>
      <c r="P125" s="98"/>
      <c r="Q125" s="98"/>
      <c r="R125" s="98"/>
      <c r="S125" s="98"/>
      <c r="T125" s="98"/>
      <c r="U125" s="98"/>
      <c r="V125" s="98"/>
      <c r="W125" s="98"/>
      <c r="X125" s="98"/>
      <c r="Y125" s="98"/>
      <c r="Z125" s="98"/>
    </row>
    <row r="126" spans="1:26" s="99" customFormat="1" x14ac:dyDescent="0.35">
      <c r="A126" s="43" t="s">
        <v>709</v>
      </c>
      <c r="B126" s="43" t="s">
        <v>2717</v>
      </c>
      <c r="C126" s="162">
        <v>1</v>
      </c>
      <c r="D126" s="162">
        <v>0</v>
      </c>
      <c r="E126" s="43" t="s">
        <v>3439</v>
      </c>
      <c r="F126" s="43" t="s">
        <v>2793</v>
      </c>
      <c r="G126" s="98"/>
      <c r="H126" s="98"/>
      <c r="I126" s="98"/>
      <c r="J126" s="98"/>
      <c r="K126" s="98"/>
      <c r="L126" s="98"/>
      <c r="M126" s="98"/>
      <c r="N126" s="98"/>
      <c r="O126" s="98"/>
      <c r="P126" s="98"/>
      <c r="Q126" s="98"/>
      <c r="R126" s="98"/>
      <c r="S126" s="98"/>
      <c r="T126" s="98"/>
      <c r="U126" s="98"/>
      <c r="V126" s="98"/>
      <c r="W126" s="98"/>
      <c r="X126" s="98"/>
      <c r="Y126" s="98"/>
      <c r="Z126" s="98"/>
    </row>
    <row r="127" spans="1:26" s="99" customFormat="1" x14ac:dyDescent="0.35">
      <c r="A127" s="43" t="s">
        <v>708</v>
      </c>
      <c r="B127" s="43" t="s">
        <v>2717</v>
      </c>
      <c r="C127" s="162">
        <v>0</v>
      </c>
      <c r="D127" s="162">
        <v>1</v>
      </c>
      <c r="E127" s="43" t="s">
        <v>3439</v>
      </c>
      <c r="F127" s="43" t="s">
        <v>2793</v>
      </c>
      <c r="G127" s="98"/>
      <c r="H127" s="98"/>
      <c r="I127" s="98"/>
      <c r="J127" s="98"/>
      <c r="K127" s="98"/>
      <c r="L127" s="98"/>
      <c r="M127" s="98"/>
      <c r="N127" s="98"/>
      <c r="O127" s="98"/>
      <c r="P127" s="98"/>
      <c r="Q127" s="98"/>
      <c r="R127" s="98"/>
      <c r="S127" s="98"/>
      <c r="T127" s="98"/>
      <c r="U127" s="98"/>
      <c r="V127" s="98"/>
      <c r="W127" s="98"/>
      <c r="X127" s="98"/>
      <c r="Y127" s="98"/>
      <c r="Z127" s="98"/>
    </row>
    <row r="128" spans="1:26" s="99" customFormat="1" x14ac:dyDescent="0.35">
      <c r="A128" s="43" t="s">
        <v>710</v>
      </c>
      <c r="B128" s="43" t="s">
        <v>2717</v>
      </c>
      <c r="C128" s="162" t="s">
        <v>3440</v>
      </c>
      <c r="D128" s="162" t="s">
        <v>3403</v>
      </c>
      <c r="E128" s="43" t="s">
        <v>3439</v>
      </c>
      <c r="F128" s="43" t="s">
        <v>2793</v>
      </c>
      <c r="G128" s="98"/>
      <c r="H128" s="98"/>
      <c r="I128" s="98"/>
      <c r="J128" s="98"/>
      <c r="K128" s="98"/>
      <c r="L128" s="98"/>
      <c r="M128" s="98"/>
      <c r="N128" s="98"/>
      <c r="O128" s="98"/>
      <c r="P128" s="98"/>
      <c r="Q128" s="98"/>
      <c r="R128" s="98"/>
      <c r="S128" s="98"/>
      <c r="T128" s="98"/>
      <c r="U128" s="98"/>
      <c r="V128" s="98"/>
      <c r="W128" s="98"/>
      <c r="X128" s="98"/>
      <c r="Y128" s="98"/>
      <c r="Z128" s="98"/>
    </row>
    <row r="129" spans="1:26" s="99" customFormat="1" x14ac:dyDescent="0.35">
      <c r="A129" s="43" t="s">
        <v>781</v>
      </c>
      <c r="B129" s="43" t="s">
        <v>2473</v>
      </c>
      <c r="C129" s="162" t="s">
        <v>3441</v>
      </c>
      <c r="D129" s="162" t="s">
        <v>2837</v>
      </c>
      <c r="E129" s="43" t="s">
        <v>3442</v>
      </c>
      <c r="F129" s="43" t="s">
        <v>2793</v>
      </c>
      <c r="G129" s="98"/>
      <c r="H129" s="98"/>
      <c r="I129" s="98"/>
      <c r="J129" s="98"/>
      <c r="K129" s="98"/>
      <c r="L129" s="98"/>
      <c r="M129" s="98"/>
      <c r="N129" s="98"/>
      <c r="O129" s="98"/>
      <c r="P129" s="98"/>
      <c r="Q129" s="98"/>
      <c r="R129" s="98"/>
      <c r="S129" s="98"/>
      <c r="T129" s="98"/>
      <c r="U129" s="98"/>
      <c r="V129" s="98"/>
      <c r="W129" s="98"/>
      <c r="X129" s="98"/>
      <c r="Y129" s="98"/>
      <c r="Z129" s="98"/>
    </row>
    <row r="130" spans="1:26" s="99" customFormat="1" x14ac:dyDescent="0.35">
      <c r="A130" s="43" t="s">
        <v>786</v>
      </c>
      <c r="B130" s="43" t="s">
        <v>2473</v>
      </c>
      <c r="C130" s="162">
        <v>1</v>
      </c>
      <c r="D130" s="162">
        <v>0</v>
      </c>
      <c r="E130" s="43" t="s">
        <v>3442</v>
      </c>
      <c r="F130" s="43" t="s">
        <v>2793</v>
      </c>
      <c r="G130" s="98"/>
      <c r="H130" s="98"/>
      <c r="I130" s="98"/>
      <c r="J130" s="98"/>
      <c r="K130" s="98"/>
      <c r="L130" s="98"/>
      <c r="M130" s="98"/>
      <c r="N130" s="98"/>
      <c r="O130" s="98"/>
      <c r="P130" s="98"/>
      <c r="Q130" s="98"/>
      <c r="R130" s="98"/>
      <c r="S130" s="98"/>
      <c r="T130" s="98"/>
      <c r="U130" s="98"/>
      <c r="V130" s="98"/>
      <c r="W130" s="98"/>
      <c r="X130" s="98"/>
      <c r="Y130" s="98"/>
      <c r="Z130" s="98"/>
    </row>
    <row r="131" spans="1:26" s="99" customFormat="1" x14ac:dyDescent="0.35">
      <c r="A131" s="43" t="s">
        <v>787</v>
      </c>
      <c r="B131" s="43" t="s">
        <v>2473</v>
      </c>
      <c r="C131" s="162" t="s">
        <v>3443</v>
      </c>
      <c r="D131" s="162" t="s">
        <v>3403</v>
      </c>
      <c r="E131" s="43" t="s">
        <v>3442</v>
      </c>
      <c r="F131" s="43" t="s">
        <v>2793</v>
      </c>
      <c r="G131" s="98"/>
      <c r="H131" s="98"/>
      <c r="I131" s="98"/>
      <c r="J131" s="98"/>
      <c r="K131" s="98"/>
      <c r="L131" s="98"/>
      <c r="M131" s="98"/>
      <c r="N131" s="98"/>
      <c r="O131" s="98"/>
      <c r="P131" s="98"/>
      <c r="Q131" s="98"/>
      <c r="R131" s="98"/>
      <c r="S131" s="98"/>
      <c r="T131" s="98"/>
      <c r="U131" s="98"/>
      <c r="V131" s="98"/>
      <c r="W131" s="98"/>
      <c r="X131" s="98"/>
      <c r="Y131" s="98"/>
      <c r="Z131" s="98"/>
    </row>
    <row r="132" spans="1:26" s="99" customFormat="1" x14ac:dyDescent="0.35">
      <c r="A132" s="43" t="s">
        <v>792</v>
      </c>
      <c r="B132" s="43" t="s">
        <v>2473</v>
      </c>
      <c r="C132" s="162" t="s">
        <v>1154</v>
      </c>
      <c r="D132" s="162" t="s">
        <v>2840</v>
      </c>
      <c r="E132" s="43" t="s">
        <v>3406</v>
      </c>
      <c r="F132" s="43" t="s">
        <v>2793</v>
      </c>
      <c r="G132" s="98"/>
      <c r="H132" s="98"/>
      <c r="I132" s="98"/>
      <c r="J132" s="98"/>
      <c r="K132" s="98"/>
      <c r="L132" s="98"/>
      <c r="M132" s="98"/>
      <c r="N132" s="98"/>
      <c r="O132" s="98"/>
      <c r="P132" s="98"/>
      <c r="Q132" s="98"/>
      <c r="R132" s="98"/>
      <c r="S132" s="98"/>
      <c r="T132" s="98"/>
      <c r="U132" s="98"/>
      <c r="V132" s="98"/>
      <c r="W132" s="98"/>
      <c r="X132" s="98"/>
      <c r="Y132" s="98"/>
      <c r="Z132" s="98"/>
    </row>
    <row r="133" spans="1:26" s="99" customFormat="1" x14ac:dyDescent="0.35">
      <c r="A133" s="43" t="s">
        <v>793</v>
      </c>
      <c r="B133" s="43" t="s">
        <v>2473</v>
      </c>
      <c r="C133" s="162">
        <v>1</v>
      </c>
      <c r="D133" s="162">
        <v>0</v>
      </c>
      <c r="E133" s="43" t="s">
        <v>3406</v>
      </c>
      <c r="F133" s="43" t="s">
        <v>2793</v>
      </c>
      <c r="G133" s="98"/>
      <c r="H133" s="98"/>
      <c r="I133" s="98"/>
      <c r="J133" s="98"/>
      <c r="K133" s="98"/>
      <c r="L133" s="98"/>
      <c r="M133" s="98"/>
      <c r="N133" s="98"/>
      <c r="O133" s="98"/>
      <c r="P133" s="98"/>
      <c r="Q133" s="98"/>
      <c r="R133" s="98"/>
      <c r="S133" s="98"/>
      <c r="T133" s="98"/>
      <c r="U133" s="98"/>
      <c r="V133" s="98"/>
      <c r="W133" s="98"/>
      <c r="X133" s="98"/>
      <c r="Y133" s="98"/>
      <c r="Z133" s="98"/>
    </row>
    <row r="134" spans="1:26" s="99" customFormat="1" x14ac:dyDescent="0.35">
      <c r="A134" s="43" t="s">
        <v>794</v>
      </c>
      <c r="B134" s="43" t="s">
        <v>2473</v>
      </c>
      <c r="C134" s="162">
        <v>1</v>
      </c>
      <c r="D134" s="162">
        <v>0</v>
      </c>
      <c r="E134" s="43" t="s">
        <v>3406</v>
      </c>
      <c r="F134" s="43" t="s">
        <v>2793</v>
      </c>
      <c r="G134" s="98"/>
      <c r="H134" s="98"/>
      <c r="I134" s="98"/>
      <c r="J134" s="98"/>
      <c r="K134" s="98"/>
      <c r="L134" s="98"/>
      <c r="M134" s="98"/>
      <c r="N134" s="98"/>
      <c r="O134" s="98"/>
      <c r="P134" s="98"/>
      <c r="Q134" s="98"/>
      <c r="R134" s="98"/>
      <c r="S134" s="98"/>
      <c r="T134" s="98"/>
      <c r="U134" s="98"/>
      <c r="V134" s="98"/>
      <c r="W134" s="98"/>
      <c r="X134" s="98"/>
      <c r="Y134" s="98"/>
      <c r="Z134" s="98"/>
    </row>
    <row r="135" spans="1:26" s="99" customFormat="1" x14ac:dyDescent="0.35">
      <c r="A135" s="43" t="s">
        <v>798</v>
      </c>
      <c r="B135" s="43" t="s">
        <v>2473</v>
      </c>
      <c r="C135" s="162">
        <v>0</v>
      </c>
      <c r="D135" s="162">
        <v>1</v>
      </c>
      <c r="E135" s="43" t="s">
        <v>3406</v>
      </c>
      <c r="F135" s="43" t="s">
        <v>2793</v>
      </c>
      <c r="G135" s="98"/>
      <c r="H135" s="98"/>
      <c r="I135" s="98"/>
      <c r="J135" s="98"/>
      <c r="K135" s="98"/>
      <c r="L135" s="98"/>
      <c r="M135" s="98"/>
      <c r="N135" s="98"/>
      <c r="O135" s="98"/>
      <c r="P135" s="98"/>
      <c r="Q135" s="98"/>
      <c r="R135" s="98"/>
      <c r="S135" s="98"/>
      <c r="T135" s="98"/>
      <c r="U135" s="98"/>
      <c r="V135" s="98"/>
      <c r="W135" s="98"/>
      <c r="X135" s="98"/>
      <c r="Y135" s="98"/>
      <c r="Z135" s="98"/>
    </row>
    <row r="136" spans="1:26" s="99" customFormat="1" x14ac:dyDescent="0.35">
      <c r="A136" s="43" t="s">
        <v>799</v>
      </c>
      <c r="B136" s="43" t="s">
        <v>2473</v>
      </c>
      <c r="C136" s="162" t="s">
        <v>3444</v>
      </c>
      <c r="D136" s="162" t="s">
        <v>3403</v>
      </c>
      <c r="E136" s="43" t="s">
        <v>3406</v>
      </c>
      <c r="F136" s="43" t="s">
        <v>2793</v>
      </c>
      <c r="G136" s="98"/>
      <c r="H136" s="98"/>
      <c r="I136" s="98"/>
      <c r="J136" s="98"/>
      <c r="K136" s="98"/>
      <c r="L136" s="98"/>
      <c r="M136" s="98"/>
      <c r="N136" s="98"/>
      <c r="O136" s="98"/>
      <c r="P136" s="98"/>
      <c r="Q136" s="98"/>
      <c r="R136" s="98"/>
      <c r="S136" s="98"/>
      <c r="T136" s="98"/>
      <c r="U136" s="98"/>
      <c r="V136" s="98"/>
      <c r="W136" s="98"/>
      <c r="X136" s="98"/>
      <c r="Y136" s="98"/>
      <c r="Z136" s="98"/>
    </row>
    <row r="137" spans="1:26" s="99" customFormat="1" x14ac:dyDescent="0.35">
      <c r="A137" s="43" t="s">
        <v>823</v>
      </c>
      <c r="B137" s="43" t="s">
        <v>2717</v>
      </c>
      <c r="C137" s="162" t="s">
        <v>1154</v>
      </c>
      <c r="D137" s="162" t="s">
        <v>1880</v>
      </c>
      <c r="E137" s="43" t="s">
        <v>3408</v>
      </c>
      <c r="F137" s="43" t="s">
        <v>2335</v>
      </c>
      <c r="G137" s="98"/>
      <c r="H137" s="98"/>
      <c r="I137" s="98"/>
      <c r="J137" s="98"/>
      <c r="K137" s="98"/>
      <c r="L137" s="98"/>
      <c r="M137" s="98"/>
      <c r="N137" s="98"/>
      <c r="O137" s="98"/>
      <c r="P137" s="98"/>
      <c r="Q137" s="98"/>
      <c r="R137" s="98"/>
      <c r="S137" s="98"/>
      <c r="T137" s="98"/>
      <c r="U137" s="98"/>
      <c r="V137" s="98"/>
      <c r="W137" s="98"/>
      <c r="X137" s="98"/>
      <c r="Y137" s="98"/>
      <c r="Z137" s="98"/>
    </row>
    <row r="138" spans="1:26" s="99" customFormat="1" x14ac:dyDescent="0.35">
      <c r="A138" s="43" t="s">
        <v>826</v>
      </c>
      <c r="B138" s="43" t="s">
        <v>2717</v>
      </c>
      <c r="C138" s="162">
        <v>0</v>
      </c>
      <c r="D138" s="162">
        <v>1</v>
      </c>
      <c r="E138" s="43" t="s">
        <v>3408</v>
      </c>
      <c r="F138" s="43" t="s">
        <v>2335</v>
      </c>
      <c r="G138" s="98"/>
      <c r="H138" s="98"/>
      <c r="I138" s="98"/>
      <c r="J138" s="98"/>
      <c r="K138" s="98"/>
      <c r="L138" s="98"/>
      <c r="M138" s="98"/>
      <c r="N138" s="98"/>
      <c r="O138" s="98"/>
      <c r="P138" s="98"/>
      <c r="Q138" s="98"/>
      <c r="R138" s="98"/>
      <c r="S138" s="98"/>
      <c r="T138" s="98"/>
      <c r="U138" s="98"/>
      <c r="V138" s="98"/>
      <c r="W138" s="98"/>
      <c r="X138" s="98"/>
      <c r="Y138" s="98"/>
      <c r="Z138" s="98"/>
    </row>
    <row r="139" spans="1:26" s="99" customFormat="1" x14ac:dyDescent="0.35">
      <c r="A139" s="43" t="s">
        <v>827</v>
      </c>
      <c r="B139" s="43" t="s">
        <v>2717</v>
      </c>
      <c r="C139" s="162">
        <v>1</v>
      </c>
      <c r="D139" s="162">
        <v>0</v>
      </c>
      <c r="E139" s="43" t="s">
        <v>3408</v>
      </c>
      <c r="F139" s="43" t="s">
        <v>2335</v>
      </c>
      <c r="G139" s="98"/>
      <c r="H139" s="98"/>
      <c r="I139" s="98"/>
      <c r="J139" s="98"/>
      <c r="K139" s="98"/>
      <c r="L139" s="98"/>
      <c r="M139" s="98"/>
      <c r="N139" s="98"/>
      <c r="O139" s="98"/>
      <c r="P139" s="98"/>
      <c r="Q139" s="98"/>
      <c r="R139" s="98"/>
      <c r="S139" s="98"/>
      <c r="T139" s="98"/>
      <c r="U139" s="98"/>
      <c r="V139" s="98"/>
      <c r="W139" s="98"/>
      <c r="X139" s="98"/>
      <c r="Y139" s="98"/>
      <c r="Z139" s="98"/>
    </row>
    <row r="140" spans="1:26" s="99" customFormat="1" x14ac:dyDescent="0.35">
      <c r="A140" s="43" t="s">
        <v>829</v>
      </c>
      <c r="B140" s="43" t="s">
        <v>2717</v>
      </c>
      <c r="C140" s="162" t="s">
        <v>3445</v>
      </c>
      <c r="D140" s="162" t="s">
        <v>3403</v>
      </c>
      <c r="E140" s="43" t="s">
        <v>3408</v>
      </c>
      <c r="F140" s="43" t="s">
        <v>2335</v>
      </c>
      <c r="G140" s="98"/>
      <c r="H140" s="98"/>
      <c r="I140" s="98"/>
      <c r="J140" s="98"/>
      <c r="K140" s="98"/>
      <c r="L140" s="98"/>
      <c r="M140" s="98"/>
      <c r="N140" s="98"/>
      <c r="O140" s="98"/>
      <c r="P140" s="98"/>
      <c r="Q140" s="98"/>
      <c r="R140" s="98"/>
      <c r="S140" s="98"/>
      <c r="T140" s="98"/>
      <c r="U140" s="98"/>
      <c r="V140" s="98"/>
      <c r="W140" s="98"/>
      <c r="X140" s="98"/>
      <c r="Y140" s="98"/>
      <c r="Z140" s="98"/>
    </row>
    <row r="141" spans="1:26" s="99" customFormat="1" x14ac:dyDescent="0.35">
      <c r="A141" s="43" t="s">
        <v>888</v>
      </c>
      <c r="B141" s="43" t="s">
        <v>2702</v>
      </c>
      <c r="C141" s="162" t="s">
        <v>1154</v>
      </c>
      <c r="D141" s="162" t="s">
        <v>2841</v>
      </c>
      <c r="E141" s="43" t="s">
        <v>3446</v>
      </c>
      <c r="F141" s="43" t="s">
        <v>2335</v>
      </c>
      <c r="G141" s="98"/>
      <c r="H141" s="98"/>
      <c r="I141" s="98"/>
      <c r="J141" s="98"/>
      <c r="K141" s="98"/>
      <c r="L141" s="98"/>
      <c r="M141" s="98"/>
      <c r="N141" s="98"/>
      <c r="O141" s="98"/>
      <c r="P141" s="98"/>
      <c r="Q141" s="98"/>
      <c r="R141" s="98"/>
      <c r="S141" s="98"/>
      <c r="T141" s="98"/>
      <c r="U141" s="98"/>
      <c r="V141" s="98"/>
      <c r="W141" s="98"/>
      <c r="X141" s="98"/>
      <c r="Y141" s="98"/>
      <c r="Z141" s="98"/>
    </row>
    <row r="142" spans="1:26" s="99" customFormat="1" x14ac:dyDescent="0.35">
      <c r="A142" s="43" t="s">
        <v>894</v>
      </c>
      <c r="B142" s="43" t="s">
        <v>2702</v>
      </c>
      <c r="C142" s="162">
        <v>0</v>
      </c>
      <c r="D142" s="162">
        <v>1</v>
      </c>
      <c r="E142" s="43" t="s">
        <v>3446</v>
      </c>
      <c r="F142" s="43" t="s">
        <v>2335</v>
      </c>
      <c r="G142" s="98"/>
      <c r="H142" s="98"/>
      <c r="I142" s="98"/>
      <c r="J142" s="98"/>
      <c r="K142" s="98"/>
      <c r="L142" s="98"/>
      <c r="M142" s="98"/>
      <c r="N142" s="98"/>
      <c r="O142" s="98"/>
      <c r="P142" s="98"/>
      <c r="Q142" s="98"/>
      <c r="R142" s="98"/>
      <c r="S142" s="98"/>
      <c r="T142" s="98"/>
      <c r="U142" s="98"/>
      <c r="V142" s="98"/>
      <c r="W142" s="98"/>
      <c r="X142" s="98"/>
      <c r="Y142" s="98"/>
      <c r="Z142" s="98"/>
    </row>
    <row r="143" spans="1:26" s="99" customFormat="1" x14ac:dyDescent="0.35">
      <c r="A143" s="43" t="s">
        <v>823</v>
      </c>
      <c r="B143" s="43" t="s">
        <v>2460</v>
      </c>
      <c r="C143" s="162" t="s">
        <v>1154</v>
      </c>
      <c r="D143" s="162" t="s">
        <v>1880</v>
      </c>
      <c r="E143" s="43" t="s">
        <v>3408</v>
      </c>
      <c r="F143" s="43" t="s">
        <v>2335</v>
      </c>
      <c r="G143" s="98"/>
      <c r="H143" s="98"/>
      <c r="I143" s="98"/>
      <c r="J143" s="98"/>
      <c r="K143" s="98"/>
      <c r="L143" s="98"/>
      <c r="M143" s="98"/>
      <c r="N143" s="98"/>
      <c r="O143" s="98"/>
      <c r="P143" s="98"/>
      <c r="Q143" s="98"/>
      <c r="R143" s="98"/>
      <c r="S143" s="98"/>
      <c r="T143" s="98"/>
      <c r="U143" s="98"/>
      <c r="V143" s="98"/>
      <c r="W143" s="98"/>
      <c r="X143" s="98"/>
      <c r="Y143" s="98"/>
      <c r="Z143" s="98"/>
    </row>
    <row r="144" spans="1:26" s="99" customFormat="1" x14ac:dyDescent="0.35">
      <c r="A144" s="43" t="s">
        <v>826</v>
      </c>
      <c r="B144" s="43" t="s">
        <v>2460</v>
      </c>
      <c r="C144" s="162">
        <v>0</v>
      </c>
      <c r="D144" s="162">
        <v>1</v>
      </c>
      <c r="E144" s="43" t="s">
        <v>3408</v>
      </c>
      <c r="F144" s="43" t="s">
        <v>2335</v>
      </c>
      <c r="G144" s="98"/>
      <c r="H144" s="98"/>
      <c r="I144" s="98"/>
      <c r="J144" s="98"/>
      <c r="K144" s="98"/>
      <c r="L144" s="98"/>
      <c r="M144" s="98"/>
      <c r="N144" s="98"/>
      <c r="O144" s="98"/>
      <c r="P144" s="98"/>
      <c r="Q144" s="98"/>
      <c r="R144" s="98"/>
      <c r="S144" s="98"/>
      <c r="T144" s="98"/>
      <c r="U144" s="98"/>
      <c r="V144" s="98"/>
      <c r="W144" s="98"/>
      <c r="X144" s="98"/>
      <c r="Y144" s="98"/>
      <c r="Z144" s="98"/>
    </row>
    <row r="145" spans="1:26" s="99" customFormat="1" x14ac:dyDescent="0.35">
      <c r="A145" s="43" t="s">
        <v>827</v>
      </c>
      <c r="B145" s="43" t="s">
        <v>2460</v>
      </c>
      <c r="C145" s="162">
        <v>1</v>
      </c>
      <c r="D145" s="162">
        <v>0</v>
      </c>
      <c r="E145" s="43" t="s">
        <v>3408</v>
      </c>
      <c r="F145" s="43" t="s">
        <v>2335</v>
      </c>
      <c r="G145" s="98"/>
      <c r="H145" s="98"/>
      <c r="I145" s="98"/>
      <c r="J145" s="98"/>
      <c r="K145" s="98"/>
      <c r="L145" s="98"/>
      <c r="M145" s="98"/>
      <c r="N145" s="98"/>
      <c r="O145" s="98"/>
      <c r="P145" s="98"/>
      <c r="Q145" s="98"/>
      <c r="R145" s="98"/>
      <c r="S145" s="98"/>
      <c r="T145" s="98"/>
      <c r="U145" s="98"/>
      <c r="V145" s="98"/>
      <c r="W145" s="98"/>
      <c r="X145" s="98"/>
      <c r="Y145" s="98"/>
      <c r="Z145" s="98"/>
    </row>
    <row r="146" spans="1:26" s="99" customFormat="1" x14ac:dyDescent="0.35">
      <c r="A146" s="43" t="s">
        <v>829</v>
      </c>
      <c r="B146" s="43" t="s">
        <v>2460</v>
      </c>
      <c r="C146" s="162" t="s">
        <v>3447</v>
      </c>
      <c r="D146" s="162" t="s">
        <v>3403</v>
      </c>
      <c r="E146" s="43" t="s">
        <v>3408</v>
      </c>
      <c r="F146" s="43" t="s">
        <v>2335</v>
      </c>
      <c r="G146" s="98"/>
      <c r="H146" s="98"/>
      <c r="I146" s="98"/>
      <c r="J146" s="98"/>
      <c r="K146" s="98"/>
      <c r="L146" s="98"/>
      <c r="M146" s="98"/>
      <c r="N146" s="98"/>
      <c r="O146" s="98"/>
      <c r="P146" s="98"/>
      <c r="Q146" s="98"/>
      <c r="R146" s="98"/>
      <c r="S146" s="98"/>
      <c r="T146" s="98"/>
      <c r="U146" s="98"/>
      <c r="V146" s="98"/>
      <c r="W146" s="98"/>
      <c r="X146" s="98"/>
      <c r="Y146" s="98"/>
      <c r="Z146" s="98"/>
    </row>
    <row r="147" spans="1:26" s="99" customFormat="1" x14ac:dyDescent="0.35">
      <c r="A147" s="43" t="s">
        <v>823</v>
      </c>
      <c r="B147" s="43" t="s">
        <v>2730</v>
      </c>
      <c r="C147" s="162" t="s">
        <v>1154</v>
      </c>
      <c r="D147" s="162" t="s">
        <v>1880</v>
      </c>
      <c r="E147" s="43" t="s">
        <v>3408</v>
      </c>
      <c r="F147" s="43" t="s">
        <v>2335</v>
      </c>
      <c r="G147" s="98"/>
      <c r="H147" s="98"/>
      <c r="I147" s="98"/>
      <c r="J147" s="98"/>
      <c r="K147" s="98"/>
      <c r="L147" s="98"/>
      <c r="M147" s="98"/>
      <c r="N147" s="98"/>
      <c r="O147" s="98"/>
      <c r="P147" s="98"/>
      <c r="Q147" s="98"/>
      <c r="R147" s="98"/>
      <c r="S147" s="98"/>
      <c r="T147" s="98"/>
      <c r="U147" s="98"/>
      <c r="V147" s="98"/>
      <c r="W147" s="98"/>
      <c r="X147" s="98"/>
      <c r="Y147" s="98"/>
      <c r="Z147" s="98"/>
    </row>
    <row r="148" spans="1:26" s="99" customFormat="1" x14ac:dyDescent="0.35">
      <c r="A148" s="43" t="s">
        <v>826</v>
      </c>
      <c r="B148" s="43" t="s">
        <v>2730</v>
      </c>
      <c r="C148" s="162">
        <v>0</v>
      </c>
      <c r="D148" s="162">
        <v>1</v>
      </c>
      <c r="E148" s="43" t="s">
        <v>3408</v>
      </c>
      <c r="F148" s="43" t="s">
        <v>2335</v>
      </c>
      <c r="G148" s="98"/>
      <c r="H148" s="98"/>
      <c r="I148" s="98"/>
      <c r="J148" s="98"/>
      <c r="K148" s="98"/>
      <c r="L148" s="98"/>
      <c r="M148" s="98"/>
      <c r="N148" s="98"/>
      <c r="O148" s="98"/>
      <c r="P148" s="98"/>
      <c r="Q148" s="98"/>
      <c r="R148" s="98"/>
      <c r="S148" s="98"/>
      <c r="T148" s="98"/>
      <c r="U148" s="98"/>
      <c r="V148" s="98"/>
      <c r="W148" s="98"/>
      <c r="X148" s="98"/>
      <c r="Y148" s="98"/>
      <c r="Z148" s="98"/>
    </row>
    <row r="149" spans="1:26" s="99" customFormat="1" x14ac:dyDescent="0.35">
      <c r="A149" s="43" t="s">
        <v>827</v>
      </c>
      <c r="B149" s="43" t="s">
        <v>2730</v>
      </c>
      <c r="C149" s="162">
        <v>1</v>
      </c>
      <c r="D149" s="162">
        <v>0</v>
      </c>
      <c r="E149" s="43" t="s">
        <v>3408</v>
      </c>
      <c r="F149" s="43" t="s">
        <v>2335</v>
      </c>
      <c r="G149" s="98"/>
      <c r="H149" s="98"/>
      <c r="I149" s="98"/>
      <c r="J149" s="98"/>
      <c r="K149" s="98"/>
      <c r="L149" s="98"/>
      <c r="M149" s="98"/>
      <c r="N149" s="98"/>
      <c r="O149" s="98"/>
      <c r="P149" s="98"/>
      <c r="Q149" s="98"/>
      <c r="R149" s="98"/>
      <c r="S149" s="98"/>
      <c r="T149" s="98"/>
      <c r="U149" s="98"/>
      <c r="V149" s="98"/>
      <c r="W149" s="98"/>
      <c r="X149" s="98"/>
      <c r="Y149" s="98"/>
      <c r="Z149" s="98"/>
    </row>
    <row r="150" spans="1:26" s="99" customFormat="1" x14ac:dyDescent="0.35">
      <c r="A150" s="43" t="s">
        <v>829</v>
      </c>
      <c r="B150" s="43" t="s">
        <v>2730</v>
      </c>
      <c r="C150" s="162" t="s">
        <v>3448</v>
      </c>
      <c r="D150" s="162" t="s">
        <v>3403</v>
      </c>
      <c r="E150" s="43" t="s">
        <v>3408</v>
      </c>
      <c r="F150" s="43" t="s">
        <v>2335</v>
      </c>
      <c r="G150" s="98"/>
      <c r="H150" s="98"/>
      <c r="I150" s="98"/>
      <c r="J150" s="98"/>
      <c r="K150" s="98"/>
      <c r="L150" s="98"/>
      <c r="M150" s="98"/>
      <c r="N150" s="98"/>
      <c r="O150" s="98"/>
      <c r="P150" s="98"/>
      <c r="Q150" s="98"/>
      <c r="R150" s="98"/>
      <c r="S150" s="98"/>
      <c r="T150" s="98"/>
      <c r="U150" s="98"/>
      <c r="V150" s="98"/>
      <c r="W150" s="98"/>
      <c r="X150" s="98"/>
      <c r="Y150" s="98"/>
      <c r="Z150" s="98"/>
    </row>
    <row r="151" spans="1:26" s="99" customFormat="1" x14ac:dyDescent="0.35">
      <c r="A151" s="43" t="s">
        <v>823</v>
      </c>
      <c r="B151" s="43" t="s">
        <v>2473</v>
      </c>
      <c r="C151" s="162" t="s">
        <v>1154</v>
      </c>
      <c r="D151" s="162" t="s">
        <v>1880</v>
      </c>
      <c r="E151" s="43" t="s">
        <v>3408</v>
      </c>
      <c r="F151" s="43" t="s">
        <v>2335</v>
      </c>
      <c r="G151" s="98"/>
      <c r="H151" s="98"/>
      <c r="I151" s="98"/>
      <c r="J151" s="98"/>
      <c r="K151" s="98"/>
      <c r="L151" s="98"/>
      <c r="M151" s="98"/>
      <c r="N151" s="98"/>
      <c r="O151" s="98"/>
      <c r="P151" s="98"/>
      <c r="Q151" s="98"/>
      <c r="R151" s="98"/>
      <c r="S151" s="98"/>
      <c r="T151" s="98"/>
      <c r="U151" s="98"/>
      <c r="V151" s="98"/>
      <c r="W151" s="98"/>
      <c r="X151" s="98"/>
      <c r="Y151" s="98"/>
      <c r="Z151" s="98"/>
    </row>
    <row r="152" spans="1:26" s="99" customFormat="1" x14ac:dyDescent="0.35">
      <c r="A152" s="43" t="s">
        <v>826</v>
      </c>
      <c r="B152" s="43" t="s">
        <v>2473</v>
      </c>
      <c r="C152" s="162">
        <v>0</v>
      </c>
      <c r="D152" s="162">
        <v>1</v>
      </c>
      <c r="E152" s="43" t="s">
        <v>3408</v>
      </c>
      <c r="F152" s="43" t="s">
        <v>2335</v>
      </c>
      <c r="G152" s="98"/>
      <c r="H152" s="98"/>
      <c r="I152" s="98"/>
      <c r="J152" s="98"/>
      <c r="K152" s="98"/>
      <c r="L152" s="98"/>
      <c r="M152" s="98"/>
      <c r="N152" s="98"/>
      <c r="O152" s="98"/>
      <c r="P152" s="98"/>
      <c r="Q152" s="98"/>
      <c r="R152" s="98"/>
      <c r="S152" s="98"/>
      <c r="T152" s="98"/>
      <c r="U152" s="98"/>
      <c r="V152" s="98"/>
      <c r="W152" s="98"/>
      <c r="X152" s="98"/>
      <c r="Y152" s="98"/>
      <c r="Z152" s="98"/>
    </row>
    <row r="153" spans="1:26" s="99" customFormat="1" x14ac:dyDescent="0.35">
      <c r="A153" s="43" t="s">
        <v>827</v>
      </c>
      <c r="B153" s="43" t="s">
        <v>2473</v>
      </c>
      <c r="C153" s="162">
        <v>1</v>
      </c>
      <c r="D153" s="162">
        <v>0</v>
      </c>
      <c r="E153" s="43" t="s">
        <v>3408</v>
      </c>
      <c r="F153" s="43" t="s">
        <v>2335</v>
      </c>
      <c r="G153" s="98"/>
      <c r="H153" s="98"/>
      <c r="I153" s="98"/>
      <c r="J153" s="98"/>
      <c r="K153" s="98"/>
      <c r="L153" s="98"/>
      <c r="M153" s="98"/>
      <c r="N153" s="98"/>
      <c r="O153" s="98"/>
      <c r="P153" s="98"/>
      <c r="Q153" s="98"/>
      <c r="R153" s="98"/>
      <c r="S153" s="98"/>
      <c r="T153" s="98"/>
      <c r="U153" s="98"/>
      <c r="V153" s="98"/>
      <c r="W153" s="98"/>
      <c r="X153" s="98"/>
      <c r="Y153" s="98"/>
      <c r="Z153" s="98"/>
    </row>
    <row r="154" spans="1:26" s="99" customFormat="1" x14ac:dyDescent="0.35">
      <c r="A154" s="43" t="s">
        <v>829</v>
      </c>
      <c r="B154" s="43" t="s">
        <v>2473</v>
      </c>
      <c r="C154" s="163" t="s">
        <v>3449</v>
      </c>
      <c r="D154" s="162" t="s">
        <v>3403</v>
      </c>
      <c r="E154" s="43" t="s">
        <v>3408</v>
      </c>
      <c r="F154" s="43" t="s">
        <v>2335</v>
      </c>
      <c r="G154" s="98"/>
      <c r="H154" s="98"/>
      <c r="I154" s="98"/>
      <c r="J154" s="98"/>
      <c r="K154" s="98"/>
      <c r="L154" s="98"/>
      <c r="M154" s="98"/>
      <c r="N154" s="98"/>
      <c r="O154" s="98"/>
      <c r="P154" s="98"/>
      <c r="Q154" s="98"/>
      <c r="R154" s="98"/>
      <c r="S154" s="98"/>
      <c r="T154" s="98"/>
      <c r="U154" s="98"/>
      <c r="V154" s="98"/>
      <c r="W154" s="98"/>
      <c r="X154" s="98"/>
      <c r="Y154" s="98"/>
      <c r="Z154" s="98"/>
    </row>
    <row r="155" spans="1:26" s="99" customFormat="1" x14ac:dyDescent="0.35">
      <c r="A155" s="43" t="s">
        <v>843</v>
      </c>
      <c r="B155" s="43" t="s">
        <v>2454</v>
      </c>
      <c r="C155" s="162" t="s">
        <v>3421</v>
      </c>
      <c r="D155" s="162" t="s">
        <v>2759</v>
      </c>
      <c r="E155" s="43" t="s">
        <v>3442</v>
      </c>
      <c r="F155" s="43" t="s">
        <v>2793</v>
      </c>
      <c r="G155" s="98"/>
      <c r="H155" s="98"/>
      <c r="I155" s="98"/>
      <c r="J155" s="98"/>
      <c r="K155" s="98"/>
      <c r="L155" s="98"/>
      <c r="M155" s="98"/>
      <c r="N155" s="98"/>
      <c r="O155" s="98"/>
      <c r="P155" s="98"/>
      <c r="Q155" s="98"/>
      <c r="R155" s="98"/>
      <c r="S155" s="98"/>
      <c r="T155" s="98"/>
      <c r="U155" s="98"/>
      <c r="V155" s="98"/>
      <c r="W155" s="98"/>
      <c r="X155" s="98"/>
      <c r="Y155" s="98"/>
      <c r="Z155" s="98"/>
    </row>
    <row r="156" spans="1:26" s="99" customFormat="1" x14ac:dyDescent="0.35">
      <c r="A156" s="43" t="s">
        <v>843</v>
      </c>
      <c r="B156" s="43" t="s">
        <v>2460</v>
      </c>
      <c r="C156" s="162" t="s">
        <v>3421</v>
      </c>
      <c r="D156" s="162" t="s">
        <v>2759</v>
      </c>
      <c r="E156" s="43" t="s">
        <v>3442</v>
      </c>
      <c r="F156" s="43" t="s">
        <v>2793</v>
      </c>
      <c r="G156" s="98"/>
      <c r="H156" s="98"/>
      <c r="I156" s="98"/>
      <c r="J156" s="98"/>
      <c r="K156" s="98"/>
      <c r="L156" s="98"/>
      <c r="M156" s="98"/>
      <c r="N156" s="98"/>
      <c r="O156" s="98"/>
      <c r="P156" s="98"/>
      <c r="Q156" s="98"/>
      <c r="R156" s="98"/>
      <c r="S156" s="98"/>
      <c r="T156" s="98"/>
      <c r="U156" s="98"/>
      <c r="V156" s="98"/>
      <c r="W156" s="98"/>
      <c r="X156" s="98"/>
      <c r="Y156" s="98"/>
      <c r="Z156" s="98"/>
    </row>
    <row r="157" spans="1:26" s="99" customFormat="1" x14ac:dyDescent="0.35">
      <c r="A157" s="43" t="s">
        <v>854</v>
      </c>
      <c r="B157" s="43" t="s">
        <v>2454</v>
      </c>
      <c r="C157" s="162">
        <v>1</v>
      </c>
      <c r="D157" s="162">
        <v>0</v>
      </c>
      <c r="E157" s="43" t="s">
        <v>3442</v>
      </c>
      <c r="F157" s="43" t="s">
        <v>2793</v>
      </c>
      <c r="G157" s="98"/>
      <c r="H157" s="98"/>
      <c r="I157" s="98"/>
      <c r="J157" s="98"/>
      <c r="K157" s="98"/>
      <c r="L157" s="98"/>
      <c r="M157" s="98"/>
      <c r="N157" s="98"/>
      <c r="O157" s="98"/>
      <c r="P157" s="98"/>
      <c r="Q157" s="98"/>
      <c r="R157" s="98"/>
      <c r="S157" s="98"/>
      <c r="T157" s="98"/>
      <c r="U157" s="98"/>
      <c r="V157" s="98"/>
      <c r="W157" s="98"/>
      <c r="X157" s="98"/>
      <c r="Y157" s="98"/>
      <c r="Z157" s="98"/>
    </row>
    <row r="158" spans="1:26" s="99" customFormat="1" x14ac:dyDescent="0.35">
      <c r="A158" s="43" t="s">
        <v>854</v>
      </c>
      <c r="B158" s="43" t="s">
        <v>2460</v>
      </c>
      <c r="C158" s="162">
        <v>1</v>
      </c>
      <c r="D158" s="162">
        <v>0</v>
      </c>
      <c r="E158" s="43" t="s">
        <v>3442</v>
      </c>
      <c r="F158" s="43" t="s">
        <v>2793</v>
      </c>
      <c r="G158" s="98"/>
      <c r="H158" s="98"/>
      <c r="I158" s="98"/>
      <c r="J158" s="98"/>
      <c r="K158" s="98"/>
      <c r="L158" s="98"/>
      <c r="M158" s="98"/>
      <c r="N158" s="98"/>
      <c r="O158" s="98"/>
      <c r="P158" s="98"/>
      <c r="Q158" s="98"/>
      <c r="R158" s="98"/>
      <c r="S158" s="98"/>
      <c r="T158" s="98"/>
      <c r="U158" s="98"/>
      <c r="V158" s="98"/>
      <c r="W158" s="98"/>
      <c r="X158" s="98"/>
      <c r="Y158" s="98"/>
      <c r="Z158" s="98"/>
    </row>
    <row r="159" spans="1:26" s="99" customFormat="1" x14ac:dyDescent="0.35">
      <c r="A159" s="43" t="s">
        <v>855</v>
      </c>
      <c r="B159" s="43" t="s">
        <v>2454</v>
      </c>
      <c r="C159" s="162" t="s">
        <v>3450</v>
      </c>
      <c r="D159" s="162" t="s">
        <v>3403</v>
      </c>
      <c r="E159" s="43" t="s">
        <v>3442</v>
      </c>
      <c r="F159" s="43" t="s">
        <v>2793</v>
      </c>
      <c r="G159" s="98"/>
      <c r="H159" s="98"/>
      <c r="I159" s="98"/>
      <c r="J159" s="98"/>
      <c r="K159" s="98"/>
      <c r="L159" s="98"/>
      <c r="M159" s="98"/>
      <c r="N159" s="98"/>
      <c r="O159" s="98"/>
      <c r="P159" s="98"/>
      <c r="Q159" s="98"/>
      <c r="R159" s="98"/>
      <c r="S159" s="98"/>
      <c r="T159" s="98"/>
      <c r="U159" s="98"/>
      <c r="V159" s="98"/>
      <c r="W159" s="98"/>
      <c r="X159" s="98"/>
      <c r="Y159" s="98"/>
      <c r="Z159" s="98"/>
    </row>
    <row r="160" spans="1:26" s="166" customFormat="1" x14ac:dyDescent="0.35">
      <c r="A160" s="43" t="s">
        <v>855</v>
      </c>
      <c r="B160" s="43" t="s">
        <v>2460</v>
      </c>
      <c r="C160" s="162" t="s">
        <v>3451</v>
      </c>
      <c r="D160" s="162" t="s">
        <v>3403</v>
      </c>
      <c r="E160" s="43" t="s">
        <v>3442</v>
      </c>
      <c r="F160" s="43" t="s">
        <v>2793</v>
      </c>
      <c r="G160" s="98"/>
      <c r="H160" s="98"/>
      <c r="I160" s="98"/>
      <c r="J160" s="98"/>
      <c r="K160" s="98"/>
      <c r="L160" s="98"/>
      <c r="M160" s="98"/>
      <c r="N160" s="98"/>
      <c r="O160" s="98"/>
      <c r="P160" s="98"/>
      <c r="Q160" s="98"/>
      <c r="R160" s="98"/>
      <c r="S160" s="98"/>
      <c r="T160" s="98"/>
      <c r="U160" s="98"/>
      <c r="V160" s="98"/>
      <c r="W160" s="98"/>
      <c r="X160" s="98"/>
      <c r="Y160" s="98"/>
      <c r="Z160" s="98"/>
    </row>
    <row r="161" spans="1:26" s="99" customFormat="1" x14ac:dyDescent="0.35">
      <c r="A161" s="43" t="s">
        <v>857</v>
      </c>
      <c r="B161" s="43" t="s">
        <v>2460</v>
      </c>
      <c r="C161" s="162" t="s">
        <v>3421</v>
      </c>
      <c r="D161" s="162" t="s">
        <v>2759</v>
      </c>
      <c r="E161" s="43" t="s">
        <v>3442</v>
      </c>
      <c r="F161" s="43" t="s">
        <v>2793</v>
      </c>
      <c r="G161" s="98"/>
      <c r="H161" s="98"/>
      <c r="I161" s="98"/>
      <c r="J161" s="98"/>
      <c r="K161" s="98"/>
      <c r="L161" s="98"/>
      <c r="M161" s="98"/>
      <c r="N161" s="98"/>
      <c r="O161" s="98"/>
      <c r="P161" s="98"/>
      <c r="Q161" s="98"/>
      <c r="R161" s="98"/>
      <c r="S161" s="98"/>
      <c r="T161" s="98"/>
      <c r="U161" s="98"/>
      <c r="V161" s="98"/>
      <c r="W161" s="98"/>
      <c r="X161" s="98"/>
      <c r="Y161" s="98"/>
      <c r="Z161" s="98"/>
    </row>
    <row r="162" spans="1:26" s="99" customFormat="1" x14ac:dyDescent="0.35">
      <c r="A162" s="43" t="s">
        <v>864</v>
      </c>
      <c r="B162" s="43" t="s">
        <v>2460</v>
      </c>
      <c r="C162" s="162">
        <v>1</v>
      </c>
      <c r="D162" s="162">
        <v>0</v>
      </c>
      <c r="E162" s="43" t="s">
        <v>3442</v>
      </c>
      <c r="F162" s="43" t="s">
        <v>2793</v>
      </c>
      <c r="G162" s="98"/>
      <c r="H162" s="98"/>
      <c r="I162" s="98"/>
      <c r="J162" s="98"/>
      <c r="K162" s="98"/>
      <c r="L162" s="98"/>
      <c r="M162" s="98"/>
      <c r="N162" s="98"/>
      <c r="O162" s="98"/>
      <c r="P162" s="98"/>
      <c r="Q162" s="98"/>
      <c r="R162" s="98"/>
      <c r="S162" s="98"/>
      <c r="T162" s="98"/>
      <c r="U162" s="98"/>
      <c r="V162" s="98"/>
      <c r="W162" s="98"/>
      <c r="X162" s="98"/>
      <c r="Y162" s="98"/>
      <c r="Z162" s="98"/>
    </row>
    <row r="163" spans="1:26" s="99" customFormat="1" x14ac:dyDescent="0.35">
      <c r="A163" s="43" t="s">
        <v>865</v>
      </c>
      <c r="B163" s="43" t="s">
        <v>2460</v>
      </c>
      <c r="C163" s="162" t="s">
        <v>3450</v>
      </c>
      <c r="D163" s="162" t="s">
        <v>3403</v>
      </c>
      <c r="E163" s="43" t="s">
        <v>3442</v>
      </c>
      <c r="F163" s="43" t="s">
        <v>2793</v>
      </c>
      <c r="G163" s="98"/>
      <c r="H163" s="98"/>
      <c r="I163" s="98"/>
      <c r="J163" s="98"/>
      <c r="K163" s="98"/>
      <c r="L163" s="98"/>
      <c r="M163" s="98"/>
      <c r="N163" s="98"/>
      <c r="O163" s="98"/>
      <c r="P163" s="98"/>
      <c r="Q163" s="98"/>
      <c r="R163" s="98"/>
      <c r="S163" s="98"/>
      <c r="T163" s="98"/>
      <c r="U163" s="98"/>
      <c r="V163" s="98"/>
      <c r="W163" s="98"/>
      <c r="X163" s="98"/>
      <c r="Y163" s="98"/>
      <c r="Z163" s="98"/>
    </row>
    <row r="164" spans="1:26" s="99" customFormat="1" x14ac:dyDescent="0.35">
      <c r="A164" s="164" t="s">
        <v>982</v>
      </c>
      <c r="B164" s="164" t="s">
        <v>2379</v>
      </c>
      <c r="C164" s="165">
        <v>18</v>
      </c>
      <c r="D164" s="165"/>
      <c r="E164" s="164" t="s">
        <v>3452</v>
      </c>
      <c r="F164" s="164" t="s">
        <v>1869</v>
      </c>
      <c r="G164" s="98"/>
      <c r="H164" s="98"/>
      <c r="I164" s="98"/>
      <c r="J164" s="98"/>
      <c r="K164" s="98"/>
      <c r="L164" s="98"/>
      <c r="M164" s="98"/>
      <c r="N164" s="98"/>
      <c r="O164" s="98"/>
      <c r="P164" s="98"/>
      <c r="Q164" s="98"/>
      <c r="R164" s="98"/>
      <c r="S164" s="98"/>
      <c r="T164" s="98"/>
      <c r="U164" s="98"/>
      <c r="V164" s="98"/>
      <c r="W164" s="98"/>
      <c r="X164" s="98"/>
      <c r="Y164" s="98"/>
      <c r="Z164" s="98"/>
    </row>
    <row r="165" spans="1:26" s="99" customFormat="1" x14ac:dyDescent="0.35">
      <c r="A165" s="43" t="s">
        <v>1010</v>
      </c>
      <c r="B165" s="43" t="s">
        <v>2530</v>
      </c>
      <c r="C165" s="162" t="s">
        <v>3422</v>
      </c>
      <c r="D165" s="162" t="s">
        <v>2128</v>
      </c>
      <c r="E165" s="43" t="s">
        <v>3406</v>
      </c>
      <c r="F165" s="43" t="s">
        <v>2793</v>
      </c>
      <c r="G165" s="98"/>
      <c r="H165" s="98"/>
      <c r="I165" s="98"/>
      <c r="J165" s="98"/>
      <c r="K165" s="98"/>
      <c r="L165" s="98"/>
      <c r="M165" s="98"/>
      <c r="N165" s="98"/>
      <c r="O165" s="98"/>
      <c r="P165" s="98"/>
      <c r="Q165" s="98"/>
      <c r="R165" s="98"/>
      <c r="S165" s="98"/>
      <c r="T165" s="98"/>
      <c r="U165" s="98"/>
      <c r="V165" s="98"/>
      <c r="W165" s="98"/>
      <c r="X165" s="98"/>
      <c r="Y165" s="98"/>
      <c r="Z165" s="98"/>
    </row>
    <row r="166" spans="1:26" s="99" customFormat="1" x14ac:dyDescent="0.35">
      <c r="A166" s="43" t="s">
        <v>1617</v>
      </c>
      <c r="B166" s="43" t="s">
        <v>2530</v>
      </c>
      <c r="C166" s="162" t="s">
        <v>1154</v>
      </c>
      <c r="D166" s="162" t="s">
        <v>2844</v>
      </c>
      <c r="E166" s="43" t="s">
        <v>3429</v>
      </c>
      <c r="F166" s="43" t="s">
        <v>2793</v>
      </c>
      <c r="G166" s="98"/>
      <c r="H166" s="98"/>
      <c r="I166" s="98"/>
      <c r="J166" s="98"/>
      <c r="K166" s="98"/>
      <c r="L166" s="98"/>
      <c r="M166" s="98"/>
      <c r="N166" s="98"/>
      <c r="O166" s="98"/>
      <c r="P166" s="98"/>
      <c r="Q166" s="98"/>
      <c r="R166" s="98"/>
      <c r="S166" s="98"/>
      <c r="T166" s="98"/>
      <c r="U166" s="98"/>
      <c r="V166" s="98"/>
      <c r="W166" s="98"/>
      <c r="X166" s="98"/>
      <c r="Y166" s="98"/>
      <c r="Z166" s="98"/>
    </row>
    <row r="167" spans="1:26" s="99" customFormat="1" x14ac:dyDescent="0.35">
      <c r="A167" s="43" t="s">
        <v>1623</v>
      </c>
      <c r="B167" s="43" t="s">
        <v>2530</v>
      </c>
      <c r="C167" s="162">
        <v>1</v>
      </c>
      <c r="D167" s="162">
        <v>0</v>
      </c>
      <c r="E167" s="43" t="s">
        <v>3429</v>
      </c>
      <c r="F167" s="43" t="s">
        <v>2793</v>
      </c>
      <c r="G167" s="98"/>
      <c r="H167" s="98"/>
      <c r="I167" s="98"/>
      <c r="J167" s="98"/>
      <c r="K167" s="98"/>
      <c r="L167" s="98"/>
      <c r="M167" s="98"/>
      <c r="N167" s="98"/>
      <c r="O167" s="98"/>
      <c r="P167" s="98"/>
      <c r="Q167" s="98"/>
      <c r="R167" s="98"/>
      <c r="S167" s="98"/>
      <c r="T167" s="98"/>
      <c r="U167" s="98"/>
      <c r="V167" s="98"/>
      <c r="W167" s="98"/>
      <c r="X167" s="98"/>
      <c r="Y167" s="98"/>
      <c r="Z167" s="98"/>
    </row>
    <row r="168" spans="1:26" s="99" customFormat="1" x14ac:dyDescent="0.35">
      <c r="A168" s="43" t="s">
        <v>1644</v>
      </c>
      <c r="B168" s="43" t="s">
        <v>2530</v>
      </c>
      <c r="C168" s="162" t="s">
        <v>3453</v>
      </c>
      <c r="D168" s="162" t="s">
        <v>3403</v>
      </c>
      <c r="E168" s="43" t="s">
        <v>3429</v>
      </c>
      <c r="F168" s="43" t="s">
        <v>2793</v>
      </c>
      <c r="G168" s="98"/>
      <c r="H168" s="98"/>
      <c r="I168" s="98"/>
      <c r="J168" s="98"/>
      <c r="K168" s="98"/>
      <c r="L168" s="98"/>
      <c r="M168" s="98"/>
      <c r="N168" s="98"/>
      <c r="O168" s="98"/>
      <c r="P168" s="98"/>
      <c r="Q168" s="98"/>
      <c r="R168" s="98"/>
      <c r="S168" s="98"/>
      <c r="T168" s="98"/>
      <c r="U168" s="98"/>
      <c r="V168" s="98"/>
      <c r="W168" s="98"/>
      <c r="X168" s="98"/>
      <c r="Y168" s="98"/>
      <c r="Z168" s="98"/>
    </row>
    <row r="169" spans="1:26" s="99" customFormat="1" x14ac:dyDescent="0.35">
      <c r="A169" s="43" t="s">
        <v>1645</v>
      </c>
      <c r="B169" s="43" t="s">
        <v>2530</v>
      </c>
      <c r="C169" s="162" t="s">
        <v>1154</v>
      </c>
      <c r="D169" s="162" t="s">
        <v>3403</v>
      </c>
      <c r="E169" s="43" t="s">
        <v>3429</v>
      </c>
      <c r="F169" s="43" t="s">
        <v>2793</v>
      </c>
      <c r="G169" s="98"/>
      <c r="H169" s="98"/>
      <c r="I169" s="98"/>
      <c r="J169" s="98"/>
      <c r="K169" s="98"/>
      <c r="L169" s="98"/>
      <c r="M169" s="98"/>
      <c r="N169" s="98"/>
      <c r="O169" s="98"/>
      <c r="P169" s="98"/>
      <c r="Q169" s="98"/>
      <c r="R169" s="98"/>
      <c r="S169" s="98"/>
      <c r="T169" s="98"/>
      <c r="U169" s="98"/>
      <c r="V169" s="98"/>
      <c r="W169" s="98"/>
      <c r="X169" s="98"/>
      <c r="Y169" s="98"/>
      <c r="Z169" s="98"/>
    </row>
    <row r="170" spans="1:26" s="99" customFormat="1" x14ac:dyDescent="0.35">
      <c r="A170" s="43" t="s">
        <v>1646</v>
      </c>
      <c r="B170" s="43" t="s">
        <v>2530</v>
      </c>
      <c r="C170" s="162" t="s">
        <v>3453</v>
      </c>
      <c r="D170" s="162" t="s">
        <v>3403</v>
      </c>
      <c r="E170" s="43" t="s">
        <v>3429</v>
      </c>
      <c r="F170" s="43" t="s">
        <v>2793</v>
      </c>
      <c r="G170" s="98"/>
      <c r="H170" s="98"/>
      <c r="I170" s="98"/>
      <c r="J170" s="98"/>
      <c r="K170" s="98"/>
      <c r="L170" s="98"/>
      <c r="M170" s="98"/>
      <c r="N170" s="98"/>
      <c r="O170" s="98"/>
      <c r="P170" s="98"/>
      <c r="Q170" s="98"/>
      <c r="R170" s="98"/>
      <c r="S170" s="98"/>
      <c r="T170" s="98"/>
      <c r="U170" s="98"/>
      <c r="V170" s="98"/>
      <c r="W170" s="98"/>
      <c r="X170" s="98"/>
      <c r="Y170" s="98"/>
      <c r="Z170" s="98"/>
    </row>
    <row r="171" spans="1:26" s="99" customFormat="1" x14ac:dyDescent="0.35">
      <c r="A171" s="167" t="s">
        <v>1647</v>
      </c>
      <c r="B171" s="43" t="s">
        <v>2530</v>
      </c>
      <c r="C171" s="162">
        <v>0</v>
      </c>
      <c r="D171" s="162" t="s">
        <v>3403</v>
      </c>
      <c r="E171" s="43" t="s">
        <v>3429</v>
      </c>
      <c r="F171" s="43" t="s">
        <v>2793</v>
      </c>
      <c r="G171" s="98"/>
      <c r="H171" s="98"/>
      <c r="I171" s="98"/>
      <c r="J171" s="98"/>
      <c r="K171" s="98"/>
      <c r="L171" s="98"/>
      <c r="M171" s="98"/>
      <c r="N171" s="98"/>
      <c r="O171" s="98"/>
      <c r="P171" s="98"/>
      <c r="Q171" s="98"/>
      <c r="R171" s="98"/>
      <c r="S171" s="98"/>
      <c r="T171" s="98"/>
      <c r="U171" s="98"/>
      <c r="V171" s="98"/>
      <c r="W171" s="98"/>
      <c r="X171" s="98"/>
      <c r="Y171" s="98"/>
      <c r="Z171" s="98"/>
    </row>
    <row r="172" spans="1:26" s="99" customFormat="1" x14ac:dyDescent="0.35">
      <c r="A172" s="43" t="s">
        <v>1648</v>
      </c>
      <c r="B172" s="43" t="s">
        <v>2530</v>
      </c>
      <c r="C172" s="162" t="s">
        <v>1154</v>
      </c>
      <c r="D172" s="162" t="s">
        <v>3403</v>
      </c>
      <c r="E172" s="43" t="s">
        <v>3429</v>
      </c>
      <c r="F172" s="43" t="s">
        <v>2793</v>
      </c>
      <c r="G172" s="98"/>
      <c r="H172" s="98"/>
      <c r="I172" s="98"/>
      <c r="J172" s="98"/>
      <c r="K172" s="98"/>
      <c r="L172" s="98"/>
      <c r="M172" s="98"/>
      <c r="N172" s="98"/>
      <c r="O172" s="98"/>
      <c r="P172" s="98"/>
      <c r="Q172" s="98"/>
      <c r="R172" s="98"/>
      <c r="S172" s="98"/>
      <c r="T172" s="98"/>
      <c r="U172" s="98"/>
      <c r="V172" s="98"/>
      <c r="W172" s="98"/>
      <c r="X172" s="98"/>
      <c r="Y172" s="98"/>
      <c r="Z172" s="98"/>
    </row>
    <row r="173" spans="1:26" s="99" customFormat="1" x14ac:dyDescent="0.35">
      <c r="A173" s="43" t="s">
        <v>1649</v>
      </c>
      <c r="B173" s="43" t="s">
        <v>2530</v>
      </c>
      <c r="C173" s="162" t="s">
        <v>3453</v>
      </c>
      <c r="D173" s="162" t="s">
        <v>3403</v>
      </c>
      <c r="E173" s="43" t="s">
        <v>3429</v>
      </c>
      <c r="F173" s="43" t="s">
        <v>2793</v>
      </c>
      <c r="G173" s="98"/>
      <c r="H173" s="98"/>
      <c r="I173" s="98"/>
      <c r="J173" s="98"/>
      <c r="K173" s="98"/>
      <c r="L173" s="98"/>
      <c r="M173" s="98"/>
      <c r="N173" s="98"/>
      <c r="O173" s="98"/>
      <c r="P173" s="98"/>
      <c r="Q173" s="98"/>
      <c r="R173" s="98"/>
      <c r="S173" s="98"/>
      <c r="T173" s="98"/>
      <c r="U173" s="98"/>
      <c r="V173" s="98"/>
      <c r="W173" s="98"/>
      <c r="X173" s="98"/>
      <c r="Y173" s="98"/>
      <c r="Z173" s="98"/>
    </row>
    <row r="174" spans="1:26" s="99" customFormat="1" x14ac:dyDescent="0.35">
      <c r="A174" s="43" t="s">
        <v>1046</v>
      </c>
      <c r="B174" s="43" t="s">
        <v>2530</v>
      </c>
      <c r="C174" s="162" t="s">
        <v>1154</v>
      </c>
      <c r="D174" s="162" t="s">
        <v>1164</v>
      </c>
      <c r="E174" s="43" t="s">
        <v>3406</v>
      </c>
      <c r="F174" s="43" t="s">
        <v>2793</v>
      </c>
      <c r="G174" s="98"/>
      <c r="H174" s="98"/>
      <c r="I174" s="98"/>
      <c r="J174" s="98"/>
      <c r="K174" s="98"/>
      <c r="L174" s="98"/>
      <c r="M174" s="98"/>
      <c r="N174" s="98"/>
      <c r="O174" s="98"/>
      <c r="P174" s="98"/>
      <c r="Q174" s="98"/>
      <c r="R174" s="98"/>
      <c r="S174" s="98"/>
      <c r="T174" s="98"/>
      <c r="U174" s="98"/>
      <c r="V174" s="98"/>
      <c r="W174" s="98"/>
      <c r="X174" s="98"/>
      <c r="Y174" s="98"/>
      <c r="Z174" s="98"/>
    </row>
    <row r="175" spans="1:26" s="99" customFormat="1" x14ac:dyDescent="0.35">
      <c r="A175" s="43" t="s">
        <v>1053</v>
      </c>
      <c r="B175" s="43" t="s">
        <v>2530</v>
      </c>
      <c r="C175" s="162">
        <v>1</v>
      </c>
      <c r="D175" s="162">
        <v>0</v>
      </c>
      <c r="E175" s="43" t="s">
        <v>3406</v>
      </c>
      <c r="F175" s="43" t="s">
        <v>2793</v>
      </c>
      <c r="G175" s="98"/>
      <c r="H175" s="98"/>
      <c r="I175" s="98"/>
      <c r="J175" s="98"/>
      <c r="K175" s="98"/>
      <c r="L175" s="98"/>
      <c r="M175" s="98"/>
      <c r="N175" s="98"/>
      <c r="O175" s="98"/>
      <c r="P175" s="98"/>
      <c r="Q175" s="98"/>
      <c r="R175" s="98"/>
      <c r="S175" s="98"/>
      <c r="T175" s="98"/>
      <c r="U175" s="98"/>
      <c r="V175" s="98"/>
      <c r="W175" s="98"/>
      <c r="X175" s="98"/>
      <c r="Y175" s="98"/>
      <c r="Z175" s="98"/>
    </row>
    <row r="176" spans="1:26" s="99" customFormat="1" x14ac:dyDescent="0.35">
      <c r="A176" s="43" t="s">
        <v>1051</v>
      </c>
      <c r="B176" s="43" t="s">
        <v>2530</v>
      </c>
      <c r="C176" s="162">
        <v>0</v>
      </c>
      <c r="D176" s="162">
        <v>1</v>
      </c>
      <c r="E176" s="43" t="s">
        <v>3406</v>
      </c>
      <c r="F176" s="43" t="s">
        <v>2793</v>
      </c>
      <c r="G176" s="98"/>
      <c r="H176" s="98"/>
      <c r="I176" s="98"/>
      <c r="J176" s="98"/>
      <c r="K176" s="98"/>
      <c r="L176" s="98"/>
      <c r="M176" s="98"/>
      <c r="N176" s="98"/>
      <c r="O176" s="98"/>
      <c r="P176" s="98"/>
      <c r="Q176" s="98"/>
      <c r="R176" s="98"/>
      <c r="S176" s="98"/>
      <c r="T176" s="98"/>
      <c r="U176" s="98"/>
      <c r="V176" s="98"/>
      <c r="W176" s="98"/>
      <c r="X176" s="98"/>
      <c r="Y176" s="98"/>
      <c r="Z176" s="98"/>
    </row>
    <row r="177" spans="1:26" s="56" customFormat="1" x14ac:dyDescent="0.35">
      <c r="A177" s="43" t="s">
        <v>1054</v>
      </c>
      <c r="B177" s="43" t="s">
        <v>2530</v>
      </c>
      <c r="C177" s="162" t="s">
        <v>3454</v>
      </c>
      <c r="D177" s="162" t="s">
        <v>3403</v>
      </c>
      <c r="E177" s="43" t="s">
        <v>3406</v>
      </c>
      <c r="F177" s="43" t="s">
        <v>2793</v>
      </c>
      <c r="G177" s="36"/>
      <c r="H177" s="36"/>
      <c r="I177" s="36"/>
      <c r="J177" s="36"/>
      <c r="K177" s="36"/>
      <c r="L177" s="36"/>
      <c r="M177" s="36"/>
      <c r="N177" s="36"/>
      <c r="O177" s="36"/>
      <c r="P177" s="36"/>
      <c r="Q177" s="36"/>
      <c r="R177" s="36"/>
      <c r="S177" s="36"/>
      <c r="T177" s="36"/>
      <c r="U177" s="36"/>
      <c r="V177" s="36"/>
      <c r="W177" s="36"/>
      <c r="X177" s="36"/>
      <c r="Y177" s="36"/>
      <c r="Z177" s="36"/>
    </row>
    <row r="178" spans="1:26" s="168" customFormat="1" x14ac:dyDescent="0.35">
      <c r="A178" s="164" t="s">
        <v>452</v>
      </c>
      <c r="B178" s="164" t="s">
        <v>2630</v>
      </c>
      <c r="C178" s="165" t="s">
        <v>2638</v>
      </c>
      <c r="D178" s="165"/>
      <c r="E178" s="164" t="s">
        <v>3455</v>
      </c>
      <c r="F178" s="164" t="s">
        <v>1869</v>
      </c>
      <c r="G178" s="36"/>
      <c r="H178" s="36"/>
      <c r="I178" s="36"/>
      <c r="J178" s="36"/>
      <c r="K178" s="36"/>
      <c r="L178" s="36"/>
      <c r="M178" s="36"/>
      <c r="N178" s="36"/>
      <c r="O178" s="36"/>
      <c r="P178" s="36"/>
      <c r="Q178" s="36"/>
      <c r="R178" s="36"/>
      <c r="S178" s="36"/>
      <c r="T178" s="36"/>
      <c r="U178" s="36"/>
      <c r="V178" s="36"/>
      <c r="W178" s="36"/>
      <c r="X178" s="36"/>
      <c r="Y178" s="36"/>
      <c r="Z178" s="36"/>
    </row>
    <row r="179" spans="1:26" s="99" customFormat="1" x14ac:dyDescent="0.35">
      <c r="A179" s="43" t="s">
        <v>519</v>
      </c>
      <c r="B179" s="43" t="s">
        <v>2488</v>
      </c>
      <c r="C179" s="162" t="s">
        <v>1154</v>
      </c>
      <c r="D179" s="162" t="s">
        <v>3242</v>
      </c>
      <c r="E179" s="43" t="s">
        <v>3456</v>
      </c>
      <c r="F179" s="43" t="s">
        <v>2793</v>
      </c>
      <c r="G179" s="98"/>
      <c r="H179" s="98"/>
      <c r="I179" s="98"/>
      <c r="J179" s="98"/>
      <c r="K179" s="98"/>
      <c r="L179" s="98"/>
      <c r="M179" s="98"/>
      <c r="N179" s="98"/>
      <c r="O179" s="98"/>
      <c r="P179" s="98"/>
      <c r="Q179" s="98"/>
      <c r="R179" s="98"/>
      <c r="S179" s="98"/>
      <c r="T179" s="98"/>
      <c r="U179" s="98"/>
      <c r="V179" s="98"/>
      <c r="W179" s="98"/>
      <c r="X179" s="98"/>
      <c r="Y179" s="98"/>
      <c r="Z179" s="98"/>
    </row>
    <row r="180" spans="1:26" s="99" customFormat="1" x14ac:dyDescent="0.35">
      <c r="A180" s="43" t="s">
        <v>520</v>
      </c>
      <c r="B180" s="43" t="s">
        <v>2488</v>
      </c>
      <c r="C180" s="162" t="s">
        <v>3457</v>
      </c>
      <c r="D180" s="162" t="s">
        <v>3438</v>
      </c>
      <c r="E180" s="43" t="s">
        <v>3456</v>
      </c>
      <c r="F180" s="43" t="s">
        <v>2793</v>
      </c>
      <c r="G180" s="98"/>
      <c r="H180" s="98"/>
      <c r="I180" s="98"/>
      <c r="J180" s="98"/>
      <c r="K180" s="98"/>
      <c r="L180" s="98"/>
      <c r="M180" s="98"/>
      <c r="N180" s="98"/>
      <c r="O180" s="98"/>
      <c r="P180" s="98"/>
      <c r="Q180" s="98"/>
      <c r="R180" s="98"/>
      <c r="S180" s="98"/>
      <c r="T180" s="98"/>
      <c r="U180" s="98"/>
      <c r="V180" s="98"/>
      <c r="W180" s="98"/>
      <c r="X180" s="98"/>
      <c r="Y180" s="98"/>
      <c r="Z180" s="98"/>
    </row>
    <row r="181" spans="1:26" s="166" customFormat="1" ht="28" x14ac:dyDescent="0.35">
      <c r="A181" s="164" t="s">
        <v>463</v>
      </c>
      <c r="B181" s="164" t="s">
        <v>2488</v>
      </c>
      <c r="C181" s="165">
        <v>17</v>
      </c>
      <c r="D181" s="169">
        <v>30</v>
      </c>
      <c r="E181" s="170" t="s">
        <v>3458</v>
      </c>
      <c r="F181" s="164" t="s">
        <v>2793</v>
      </c>
      <c r="G181" s="98"/>
      <c r="H181" s="98"/>
      <c r="I181" s="98"/>
      <c r="J181" s="98"/>
      <c r="K181" s="98"/>
      <c r="L181" s="98"/>
      <c r="M181" s="98"/>
      <c r="N181" s="98"/>
      <c r="O181" s="98"/>
      <c r="P181" s="98"/>
      <c r="Q181" s="98"/>
      <c r="R181" s="98"/>
      <c r="S181" s="98"/>
      <c r="T181" s="98"/>
      <c r="U181" s="98"/>
      <c r="V181" s="98"/>
      <c r="W181" s="98"/>
      <c r="X181" s="98"/>
      <c r="Y181" s="98"/>
      <c r="Z181" s="98"/>
    </row>
    <row r="182" spans="1:26" s="166" customFormat="1" ht="28" x14ac:dyDescent="0.35">
      <c r="A182" s="164" t="s">
        <v>463</v>
      </c>
      <c r="B182" s="164" t="s">
        <v>2630</v>
      </c>
      <c r="C182" s="165">
        <v>5</v>
      </c>
      <c r="D182" s="169"/>
      <c r="E182" s="170" t="s">
        <v>3459</v>
      </c>
      <c r="F182" s="164" t="s">
        <v>1869</v>
      </c>
      <c r="G182" s="98"/>
      <c r="H182" s="98"/>
      <c r="I182" s="98"/>
      <c r="J182" s="98"/>
      <c r="K182" s="98"/>
      <c r="L182" s="98"/>
      <c r="M182" s="98"/>
      <c r="N182" s="98"/>
      <c r="O182" s="98"/>
      <c r="P182" s="98"/>
      <c r="Q182" s="98"/>
      <c r="R182" s="98"/>
      <c r="S182" s="98"/>
      <c r="T182" s="98"/>
      <c r="U182" s="98"/>
      <c r="V182" s="98"/>
      <c r="W182" s="98"/>
      <c r="X182" s="98"/>
      <c r="Y182" s="98"/>
      <c r="Z182" s="98"/>
    </row>
    <row r="183" spans="1:26" s="166" customFormat="1" x14ac:dyDescent="0.35">
      <c r="A183" s="43" t="s">
        <v>580</v>
      </c>
      <c r="B183" s="43" t="s">
        <v>2488</v>
      </c>
      <c r="C183" s="162" t="s">
        <v>1154</v>
      </c>
      <c r="D183" s="162" t="s">
        <v>2350</v>
      </c>
      <c r="E183" s="43" t="s">
        <v>3406</v>
      </c>
      <c r="F183" s="43" t="s">
        <v>2793</v>
      </c>
      <c r="G183" s="98"/>
      <c r="H183" s="98"/>
      <c r="I183" s="98"/>
      <c r="J183" s="98"/>
      <c r="K183" s="98"/>
      <c r="L183" s="98"/>
      <c r="M183" s="98"/>
      <c r="N183" s="98"/>
      <c r="O183" s="98"/>
      <c r="P183" s="98"/>
      <c r="Q183" s="98"/>
      <c r="R183" s="98"/>
      <c r="S183" s="98"/>
      <c r="T183" s="98"/>
      <c r="U183" s="98"/>
      <c r="V183" s="98"/>
      <c r="W183" s="98"/>
      <c r="X183" s="98"/>
      <c r="Y183" s="98"/>
      <c r="Z183" s="98"/>
    </row>
    <row r="184" spans="1:26" s="166" customFormat="1" x14ac:dyDescent="0.35">
      <c r="A184" s="43" t="s">
        <v>582</v>
      </c>
      <c r="B184" s="43" t="s">
        <v>2488</v>
      </c>
      <c r="C184" s="162">
        <v>0</v>
      </c>
      <c r="D184" s="162">
        <v>1</v>
      </c>
      <c r="E184" s="43" t="s">
        <v>3406</v>
      </c>
      <c r="F184" s="43" t="s">
        <v>2793</v>
      </c>
      <c r="G184" s="98"/>
      <c r="H184" s="98"/>
      <c r="I184" s="98"/>
      <c r="J184" s="98"/>
      <c r="K184" s="98"/>
      <c r="L184" s="98"/>
      <c r="M184" s="98"/>
      <c r="N184" s="98"/>
      <c r="O184" s="98"/>
      <c r="P184" s="98"/>
      <c r="Q184" s="98"/>
      <c r="R184" s="98"/>
      <c r="S184" s="98"/>
      <c r="T184" s="98"/>
      <c r="U184" s="98"/>
      <c r="V184" s="98"/>
      <c r="W184" s="98"/>
      <c r="X184" s="98"/>
      <c r="Y184" s="98"/>
      <c r="Z184" s="98"/>
    </row>
    <row r="185" spans="1:26" s="166" customFormat="1" x14ac:dyDescent="0.35">
      <c r="A185" s="43" t="s">
        <v>585</v>
      </c>
      <c r="B185" s="43" t="s">
        <v>2488</v>
      </c>
      <c r="C185" s="162">
        <v>1</v>
      </c>
      <c r="D185" s="162">
        <v>0</v>
      </c>
      <c r="E185" s="43" t="s">
        <v>3406</v>
      </c>
      <c r="F185" s="43" t="s">
        <v>2793</v>
      </c>
      <c r="G185" s="98"/>
      <c r="H185" s="98"/>
      <c r="I185" s="98"/>
      <c r="J185" s="98"/>
      <c r="K185" s="98"/>
      <c r="L185" s="98"/>
      <c r="M185" s="98"/>
      <c r="N185" s="98"/>
      <c r="O185" s="98"/>
      <c r="P185" s="98"/>
      <c r="Q185" s="98"/>
      <c r="R185" s="98"/>
      <c r="S185" s="98"/>
      <c r="T185" s="98"/>
      <c r="U185" s="98"/>
      <c r="V185" s="98"/>
      <c r="W185" s="98"/>
      <c r="X185" s="98"/>
      <c r="Y185" s="98"/>
      <c r="Z185" s="98"/>
    </row>
    <row r="186" spans="1:26" s="99" customFormat="1" x14ac:dyDescent="0.35">
      <c r="A186" s="159" t="s">
        <v>3460</v>
      </c>
      <c r="B186" s="160"/>
      <c r="C186" s="160"/>
      <c r="D186" s="160"/>
      <c r="E186" s="160"/>
      <c r="F186" s="161"/>
      <c r="G186" s="98"/>
      <c r="H186" s="98"/>
      <c r="I186" s="98"/>
      <c r="J186" s="98"/>
      <c r="K186" s="98"/>
      <c r="L186" s="98"/>
      <c r="M186" s="98"/>
      <c r="N186" s="98"/>
      <c r="O186" s="98"/>
      <c r="P186" s="98"/>
      <c r="Q186" s="98"/>
      <c r="R186" s="98"/>
      <c r="S186" s="98"/>
      <c r="T186" s="98"/>
      <c r="U186" s="98"/>
      <c r="V186" s="98"/>
      <c r="W186" s="98"/>
      <c r="X186" s="98"/>
      <c r="Y186" s="98"/>
      <c r="Z186" s="98"/>
    </row>
    <row r="187" spans="1:26" s="99" customFormat="1" x14ac:dyDescent="0.35">
      <c r="A187" s="43" t="s">
        <v>39</v>
      </c>
      <c r="B187" s="43" t="s">
        <v>2939</v>
      </c>
      <c r="C187" s="162" t="s">
        <v>2942</v>
      </c>
      <c r="D187" s="162" t="s">
        <v>3461</v>
      </c>
      <c r="E187" s="43" t="s">
        <v>3439</v>
      </c>
      <c r="F187" s="43" t="s">
        <v>2793</v>
      </c>
      <c r="G187" s="98"/>
      <c r="H187" s="98"/>
      <c r="I187" s="98"/>
      <c r="J187" s="98"/>
      <c r="K187" s="98"/>
      <c r="L187" s="98"/>
      <c r="M187" s="98"/>
      <c r="N187" s="98"/>
      <c r="O187" s="98"/>
      <c r="P187" s="98"/>
      <c r="Q187" s="98"/>
      <c r="R187" s="98"/>
      <c r="S187" s="98"/>
      <c r="T187" s="98"/>
      <c r="U187" s="98"/>
      <c r="V187" s="98"/>
      <c r="W187" s="98"/>
      <c r="X187" s="98"/>
      <c r="Y187" s="98"/>
      <c r="Z187" s="98"/>
    </row>
    <row r="188" spans="1:26" s="99" customFormat="1" x14ac:dyDescent="0.35">
      <c r="A188" s="43" t="s">
        <v>47</v>
      </c>
      <c r="B188" s="43" t="s">
        <v>2939</v>
      </c>
      <c r="C188" s="162">
        <v>1</v>
      </c>
      <c r="D188" s="162">
        <v>0</v>
      </c>
      <c r="E188" s="43" t="s">
        <v>3439</v>
      </c>
      <c r="F188" s="43" t="s">
        <v>2793</v>
      </c>
      <c r="G188" s="98"/>
      <c r="H188" s="98"/>
      <c r="I188" s="98"/>
      <c r="J188" s="98"/>
      <c r="K188" s="98"/>
      <c r="L188" s="98"/>
      <c r="M188" s="98"/>
      <c r="N188" s="98"/>
      <c r="O188" s="98"/>
      <c r="P188" s="98"/>
      <c r="Q188" s="98"/>
      <c r="R188" s="98"/>
      <c r="S188" s="98"/>
      <c r="T188" s="98"/>
      <c r="U188" s="98"/>
      <c r="V188" s="98"/>
      <c r="W188" s="98"/>
      <c r="X188" s="98"/>
      <c r="Y188" s="98"/>
      <c r="Z188" s="98"/>
    </row>
    <row r="189" spans="1:26" s="99" customFormat="1" x14ac:dyDescent="0.35">
      <c r="A189" s="43" t="s">
        <v>48</v>
      </c>
      <c r="B189" s="43" t="s">
        <v>2939</v>
      </c>
      <c r="C189" s="162" t="s">
        <v>3462</v>
      </c>
      <c r="D189" s="162" t="s">
        <v>3403</v>
      </c>
      <c r="E189" s="43" t="s">
        <v>3439</v>
      </c>
      <c r="F189" s="43" t="s">
        <v>2793</v>
      </c>
      <c r="G189" s="98"/>
      <c r="H189" s="98"/>
      <c r="I189" s="98"/>
      <c r="J189" s="98"/>
      <c r="K189" s="98"/>
      <c r="L189" s="98"/>
      <c r="M189" s="98"/>
      <c r="N189" s="98"/>
      <c r="O189" s="98"/>
      <c r="P189" s="98"/>
      <c r="Q189" s="98"/>
      <c r="R189" s="98"/>
      <c r="S189" s="98"/>
      <c r="T189" s="98"/>
      <c r="U189" s="98"/>
      <c r="V189" s="98"/>
      <c r="W189" s="98"/>
      <c r="X189" s="98"/>
      <c r="Y189" s="98"/>
      <c r="Z189" s="98"/>
    </row>
    <row r="190" spans="1:26" s="99" customFormat="1" x14ac:dyDescent="0.35">
      <c r="A190" s="43" t="s">
        <v>109</v>
      </c>
      <c r="B190" s="43" t="s">
        <v>2896</v>
      </c>
      <c r="C190" s="162" t="s">
        <v>1154</v>
      </c>
      <c r="D190" s="162" t="s">
        <v>1162</v>
      </c>
      <c r="E190" s="43" t="s">
        <v>3408</v>
      </c>
      <c r="F190" s="43" t="s">
        <v>2793</v>
      </c>
      <c r="G190" s="98"/>
      <c r="H190" s="98"/>
      <c r="I190" s="98"/>
      <c r="J190" s="98"/>
      <c r="K190" s="98"/>
      <c r="L190" s="98"/>
      <c r="M190" s="98"/>
      <c r="N190" s="98"/>
      <c r="O190" s="98"/>
      <c r="P190" s="98"/>
      <c r="Q190" s="98"/>
      <c r="R190" s="98"/>
      <c r="S190" s="98"/>
      <c r="T190" s="98"/>
      <c r="U190" s="98"/>
      <c r="V190" s="98"/>
      <c r="W190" s="98"/>
      <c r="X190" s="98"/>
      <c r="Y190" s="98"/>
      <c r="Z190" s="98"/>
    </row>
    <row r="191" spans="1:26" s="99" customFormat="1" x14ac:dyDescent="0.35">
      <c r="A191" s="43" t="s">
        <v>113</v>
      </c>
      <c r="B191" s="43" t="s">
        <v>2896</v>
      </c>
      <c r="C191" s="162">
        <v>1</v>
      </c>
      <c r="D191" s="162">
        <v>0</v>
      </c>
      <c r="E191" s="43" t="s">
        <v>3408</v>
      </c>
      <c r="F191" s="43" t="s">
        <v>2793</v>
      </c>
      <c r="G191" s="98"/>
      <c r="H191" s="98"/>
      <c r="I191" s="98"/>
      <c r="J191" s="98"/>
      <c r="K191" s="98"/>
      <c r="L191" s="98"/>
      <c r="M191" s="98"/>
      <c r="N191" s="98"/>
      <c r="O191" s="98"/>
      <c r="P191" s="98"/>
      <c r="Q191" s="98"/>
      <c r="R191" s="98"/>
      <c r="S191" s="98"/>
      <c r="T191" s="98"/>
      <c r="U191" s="98"/>
      <c r="V191" s="98"/>
      <c r="W191" s="98"/>
      <c r="X191" s="98"/>
      <c r="Y191" s="98"/>
      <c r="Z191" s="98"/>
    </row>
    <row r="192" spans="1:26" s="99" customFormat="1" x14ac:dyDescent="0.35">
      <c r="A192" s="43" t="s">
        <v>112</v>
      </c>
      <c r="B192" s="43" t="s">
        <v>2896</v>
      </c>
      <c r="C192" s="162">
        <v>0</v>
      </c>
      <c r="D192" s="162">
        <v>1</v>
      </c>
      <c r="E192" s="43" t="s">
        <v>3408</v>
      </c>
      <c r="F192" s="43" t="s">
        <v>2793</v>
      </c>
      <c r="G192" s="98"/>
      <c r="H192" s="98"/>
      <c r="I192" s="98"/>
      <c r="J192" s="98"/>
      <c r="K192" s="98"/>
      <c r="L192" s="98"/>
      <c r="M192" s="98"/>
      <c r="N192" s="98"/>
      <c r="O192" s="98"/>
      <c r="P192" s="98"/>
      <c r="Q192" s="98"/>
      <c r="R192" s="98"/>
      <c r="S192" s="98"/>
      <c r="T192" s="98"/>
      <c r="U192" s="98"/>
      <c r="V192" s="98"/>
      <c r="W192" s="98"/>
      <c r="X192" s="98"/>
      <c r="Y192" s="98"/>
      <c r="Z192" s="98"/>
    </row>
    <row r="193" spans="1:26" s="99" customFormat="1" x14ac:dyDescent="0.35">
      <c r="A193" s="43" t="s">
        <v>115</v>
      </c>
      <c r="B193" s="43" t="s">
        <v>2896</v>
      </c>
      <c r="C193" s="162" t="s">
        <v>2426</v>
      </c>
      <c r="D193" s="162" t="s">
        <v>3403</v>
      </c>
      <c r="E193" s="43" t="s">
        <v>3408</v>
      </c>
      <c r="F193" s="43" t="s">
        <v>2793</v>
      </c>
      <c r="G193" s="98"/>
      <c r="H193" s="98"/>
      <c r="I193" s="98"/>
      <c r="J193" s="98"/>
      <c r="K193" s="98"/>
      <c r="L193" s="98"/>
      <c r="M193" s="98"/>
      <c r="N193" s="98"/>
      <c r="O193" s="98"/>
      <c r="P193" s="98"/>
      <c r="Q193" s="98"/>
      <c r="R193" s="98"/>
      <c r="S193" s="98"/>
      <c r="T193" s="98"/>
      <c r="U193" s="98"/>
      <c r="V193" s="98"/>
      <c r="W193" s="98"/>
      <c r="X193" s="98"/>
      <c r="Y193" s="98"/>
      <c r="Z193" s="98"/>
    </row>
    <row r="194" spans="1:26" s="99" customFormat="1" x14ac:dyDescent="0.35">
      <c r="A194" s="43" t="s">
        <v>678</v>
      </c>
      <c r="B194" s="43" t="s">
        <v>2848</v>
      </c>
      <c r="C194" s="162" t="s">
        <v>3463</v>
      </c>
      <c r="D194" s="162" t="s">
        <v>3403</v>
      </c>
      <c r="E194" s="43" t="s">
        <v>3429</v>
      </c>
      <c r="F194" s="43" t="s">
        <v>2793</v>
      </c>
      <c r="G194" s="98"/>
      <c r="H194" s="98"/>
      <c r="I194" s="98"/>
      <c r="J194" s="98"/>
      <c r="K194" s="98"/>
      <c r="L194" s="98"/>
      <c r="M194" s="98"/>
      <c r="N194" s="98"/>
      <c r="O194" s="98"/>
      <c r="P194" s="98"/>
      <c r="Q194" s="98"/>
      <c r="R194" s="98"/>
      <c r="S194" s="98"/>
      <c r="T194" s="98"/>
      <c r="U194" s="98"/>
      <c r="V194" s="98"/>
      <c r="W194" s="98"/>
      <c r="X194" s="98"/>
      <c r="Y194" s="98"/>
      <c r="Z194" s="98"/>
    </row>
    <row r="195" spans="1:26" s="99" customFormat="1" x14ac:dyDescent="0.35">
      <c r="A195" s="43" t="s">
        <v>678</v>
      </c>
      <c r="B195" s="43" t="s">
        <v>2887</v>
      </c>
      <c r="C195" s="162" t="s">
        <v>3464</v>
      </c>
      <c r="D195" s="162" t="s">
        <v>3403</v>
      </c>
      <c r="E195" s="43" t="s">
        <v>3429</v>
      </c>
      <c r="F195" s="43" t="s">
        <v>2793</v>
      </c>
      <c r="G195" s="98"/>
      <c r="H195" s="98"/>
      <c r="I195" s="98"/>
      <c r="J195" s="98"/>
      <c r="K195" s="98"/>
      <c r="L195" s="98"/>
      <c r="M195" s="98"/>
      <c r="N195" s="98"/>
      <c r="O195" s="98"/>
      <c r="P195" s="98"/>
      <c r="Q195" s="98"/>
      <c r="R195" s="98"/>
      <c r="S195" s="98"/>
      <c r="T195" s="98"/>
      <c r="U195" s="98"/>
      <c r="V195" s="98"/>
      <c r="W195" s="98"/>
      <c r="X195" s="98"/>
      <c r="Y195" s="98"/>
      <c r="Z195" s="98"/>
    </row>
    <row r="196" spans="1:26" s="99" customFormat="1" x14ac:dyDescent="0.35">
      <c r="A196" s="43" t="s">
        <v>699</v>
      </c>
      <c r="B196" s="43" t="s">
        <v>2887</v>
      </c>
      <c r="C196" s="162">
        <v>14</v>
      </c>
      <c r="D196" s="162">
        <v>13</v>
      </c>
      <c r="E196" s="43" t="s">
        <v>3406</v>
      </c>
      <c r="F196" s="43" t="s">
        <v>2793</v>
      </c>
      <c r="G196" s="98"/>
      <c r="H196" s="98"/>
      <c r="I196" s="98"/>
      <c r="J196" s="98"/>
      <c r="K196" s="98"/>
      <c r="L196" s="98"/>
      <c r="M196" s="98"/>
      <c r="N196" s="98"/>
      <c r="O196" s="98"/>
      <c r="P196" s="98"/>
      <c r="Q196" s="98"/>
      <c r="R196" s="98"/>
      <c r="S196" s="98"/>
      <c r="T196" s="98"/>
      <c r="U196" s="98"/>
      <c r="V196" s="98"/>
      <c r="W196" s="98"/>
      <c r="X196" s="98"/>
      <c r="Y196" s="98"/>
      <c r="Z196" s="98"/>
    </row>
    <row r="197" spans="1:26" s="99" customFormat="1" x14ac:dyDescent="0.35">
      <c r="A197" s="43" t="s">
        <v>700</v>
      </c>
      <c r="B197" s="43" t="s">
        <v>2887</v>
      </c>
      <c r="C197" s="162">
        <v>13</v>
      </c>
      <c r="D197" s="162">
        <v>14</v>
      </c>
      <c r="E197" s="43" t="s">
        <v>3406</v>
      </c>
      <c r="F197" s="43" t="s">
        <v>2793</v>
      </c>
      <c r="G197" s="98"/>
      <c r="H197" s="98"/>
      <c r="I197" s="98"/>
      <c r="J197" s="98"/>
      <c r="K197" s="98"/>
      <c r="L197" s="98"/>
      <c r="M197" s="98"/>
      <c r="N197" s="98"/>
      <c r="O197" s="98"/>
      <c r="P197" s="98"/>
      <c r="Q197" s="98"/>
      <c r="R197" s="98"/>
      <c r="S197" s="98"/>
      <c r="T197" s="98"/>
      <c r="U197" s="98"/>
      <c r="V197" s="98"/>
      <c r="W197" s="98"/>
      <c r="X197" s="98"/>
      <c r="Y197" s="98"/>
      <c r="Z197" s="98"/>
    </row>
    <row r="198" spans="1:26" s="99" customFormat="1" x14ac:dyDescent="0.35">
      <c r="A198" s="43" t="s">
        <v>823</v>
      </c>
      <c r="B198" s="43" t="s">
        <v>2887</v>
      </c>
      <c r="C198" s="162" t="s">
        <v>1154</v>
      </c>
      <c r="D198" s="162" t="s">
        <v>1162</v>
      </c>
      <c r="E198" s="43" t="s">
        <v>3408</v>
      </c>
      <c r="F198" s="43" t="s">
        <v>2793</v>
      </c>
      <c r="G198" s="98"/>
      <c r="H198" s="98"/>
      <c r="I198" s="98"/>
      <c r="J198" s="98"/>
      <c r="K198" s="98"/>
      <c r="L198" s="98"/>
      <c r="M198" s="98"/>
      <c r="N198" s="98"/>
      <c r="O198" s="98"/>
      <c r="P198" s="98"/>
      <c r="Q198" s="98"/>
      <c r="R198" s="98"/>
      <c r="S198" s="98"/>
      <c r="T198" s="98"/>
      <c r="U198" s="98"/>
      <c r="V198" s="98"/>
      <c r="W198" s="98"/>
      <c r="X198" s="98"/>
      <c r="Y198" s="98"/>
      <c r="Z198" s="98"/>
    </row>
    <row r="199" spans="1:26" s="99" customFormat="1" x14ac:dyDescent="0.35">
      <c r="A199" s="43" t="s">
        <v>113</v>
      </c>
      <c r="B199" s="43" t="s">
        <v>2887</v>
      </c>
      <c r="C199" s="162">
        <v>1</v>
      </c>
      <c r="D199" s="162">
        <v>0</v>
      </c>
      <c r="E199" s="43" t="s">
        <v>3408</v>
      </c>
      <c r="F199" s="43" t="s">
        <v>2793</v>
      </c>
      <c r="G199" s="98"/>
      <c r="H199" s="98"/>
      <c r="I199" s="98"/>
      <c r="J199" s="98"/>
      <c r="K199" s="98"/>
      <c r="L199" s="98"/>
      <c r="M199" s="98"/>
      <c r="N199" s="98"/>
      <c r="O199" s="98"/>
      <c r="P199" s="98"/>
      <c r="Q199" s="98"/>
      <c r="R199" s="98"/>
      <c r="S199" s="98"/>
      <c r="T199" s="98"/>
      <c r="U199" s="98"/>
      <c r="V199" s="98"/>
      <c r="W199" s="98"/>
      <c r="X199" s="98"/>
      <c r="Y199" s="98"/>
      <c r="Z199" s="98"/>
    </row>
    <row r="200" spans="1:26" s="56" customFormat="1" x14ac:dyDescent="0.35">
      <c r="A200" s="43" t="s">
        <v>112</v>
      </c>
      <c r="B200" s="43" t="s">
        <v>2887</v>
      </c>
      <c r="C200" s="162">
        <v>0</v>
      </c>
      <c r="D200" s="162">
        <v>1</v>
      </c>
      <c r="E200" s="43" t="s">
        <v>3408</v>
      </c>
      <c r="F200" s="43" t="s">
        <v>2793</v>
      </c>
      <c r="G200" s="36"/>
      <c r="H200" s="36"/>
      <c r="I200" s="36"/>
      <c r="J200" s="36"/>
      <c r="K200" s="36"/>
      <c r="L200" s="36"/>
      <c r="M200" s="36"/>
      <c r="N200" s="36"/>
      <c r="O200" s="36"/>
      <c r="P200" s="36"/>
      <c r="Q200" s="36"/>
      <c r="R200" s="36"/>
      <c r="S200" s="36"/>
      <c r="T200" s="36"/>
      <c r="U200" s="36"/>
      <c r="V200" s="36"/>
      <c r="W200" s="36"/>
      <c r="X200" s="36"/>
      <c r="Y200" s="36"/>
      <c r="Z200" s="36"/>
    </row>
    <row r="201" spans="1:26" s="99" customFormat="1" x14ac:dyDescent="0.35">
      <c r="A201" s="43" t="s">
        <v>115</v>
      </c>
      <c r="B201" s="43" t="s">
        <v>2887</v>
      </c>
      <c r="C201" s="162" t="s">
        <v>3465</v>
      </c>
      <c r="D201" s="162" t="s">
        <v>3403</v>
      </c>
      <c r="E201" s="43" t="s">
        <v>3408</v>
      </c>
      <c r="F201" s="43" t="s">
        <v>2793</v>
      </c>
      <c r="G201" s="98"/>
      <c r="H201" s="98"/>
      <c r="I201" s="98"/>
      <c r="J201" s="98"/>
      <c r="K201" s="98"/>
      <c r="L201" s="98"/>
      <c r="M201" s="98"/>
      <c r="N201" s="98"/>
      <c r="O201" s="98"/>
      <c r="P201" s="98"/>
      <c r="Q201" s="98"/>
      <c r="R201" s="98"/>
      <c r="S201" s="98"/>
      <c r="T201" s="98"/>
      <c r="U201" s="98"/>
      <c r="V201" s="98"/>
      <c r="W201" s="98"/>
      <c r="X201" s="98"/>
      <c r="Y201" s="98"/>
      <c r="Z201" s="98"/>
    </row>
    <row r="202" spans="1:26" s="166" customFormat="1" x14ac:dyDescent="0.35">
      <c r="A202" s="164" t="s">
        <v>422</v>
      </c>
      <c r="B202" s="164" t="s">
        <v>2922</v>
      </c>
      <c r="C202" s="165" t="s">
        <v>3466</v>
      </c>
      <c r="D202" s="165" t="s">
        <v>3390</v>
      </c>
      <c r="E202" s="164" t="s">
        <v>3467</v>
      </c>
      <c r="F202" s="164" t="s">
        <v>2793</v>
      </c>
      <c r="G202" s="98"/>
      <c r="H202" s="98"/>
      <c r="I202" s="98"/>
      <c r="J202" s="98"/>
      <c r="K202" s="98"/>
      <c r="L202" s="98"/>
      <c r="M202" s="98"/>
      <c r="N202" s="98"/>
      <c r="O202" s="98"/>
      <c r="P202" s="98"/>
      <c r="Q202" s="98"/>
      <c r="R202" s="98"/>
      <c r="S202" s="98"/>
      <c r="T202" s="98"/>
      <c r="U202" s="98"/>
      <c r="V202" s="98"/>
      <c r="W202" s="98"/>
      <c r="X202" s="98"/>
      <c r="Y202" s="98"/>
      <c r="Z202" s="98"/>
    </row>
    <row r="203" spans="1:26" s="166" customFormat="1" ht="28" x14ac:dyDescent="0.35">
      <c r="A203" s="164" t="s">
        <v>463</v>
      </c>
      <c r="B203" s="164" t="s">
        <v>2922</v>
      </c>
      <c r="C203" s="165">
        <v>9</v>
      </c>
      <c r="D203" s="169"/>
      <c r="E203" s="170" t="s">
        <v>3459</v>
      </c>
      <c r="F203" s="164" t="s">
        <v>1869</v>
      </c>
      <c r="G203" s="98"/>
      <c r="H203" s="98"/>
      <c r="I203" s="98"/>
      <c r="J203" s="98"/>
      <c r="K203" s="98"/>
      <c r="L203" s="98"/>
      <c r="M203" s="98"/>
      <c r="N203" s="98"/>
      <c r="O203" s="98"/>
      <c r="P203" s="98"/>
      <c r="Q203" s="98"/>
      <c r="R203" s="98"/>
      <c r="S203" s="98"/>
      <c r="T203" s="98"/>
      <c r="U203" s="98"/>
      <c r="V203" s="98"/>
      <c r="W203" s="98"/>
      <c r="X203" s="98"/>
      <c r="Y203" s="98"/>
      <c r="Z203" s="98"/>
    </row>
    <row r="204" spans="1:26" s="99" customFormat="1" x14ac:dyDescent="0.35">
      <c r="A204" s="159" t="s">
        <v>3468</v>
      </c>
      <c r="B204" s="160"/>
      <c r="C204" s="160"/>
      <c r="D204" s="160"/>
      <c r="E204" s="160"/>
      <c r="F204" s="161"/>
      <c r="G204" s="98"/>
      <c r="H204" s="98"/>
      <c r="I204" s="98"/>
      <c r="J204" s="98"/>
      <c r="K204" s="98"/>
      <c r="L204" s="98"/>
      <c r="M204" s="98"/>
      <c r="N204" s="98"/>
      <c r="O204" s="98"/>
      <c r="P204" s="98"/>
      <c r="Q204" s="98"/>
      <c r="R204" s="98"/>
      <c r="S204" s="98"/>
      <c r="T204" s="98"/>
      <c r="U204" s="98"/>
      <c r="V204" s="98"/>
      <c r="W204" s="98"/>
      <c r="X204" s="98"/>
      <c r="Y204" s="98"/>
      <c r="Z204" s="98"/>
    </row>
    <row r="205" spans="1:26" s="99" customFormat="1" x14ac:dyDescent="0.35">
      <c r="A205" s="43" t="s">
        <v>17</v>
      </c>
      <c r="B205" s="43" t="s">
        <v>1667</v>
      </c>
      <c r="C205" s="185"/>
      <c r="D205" s="171" t="s">
        <v>3403</v>
      </c>
      <c r="E205" s="43" t="s">
        <v>3469</v>
      </c>
      <c r="F205" s="43" t="s">
        <v>2335</v>
      </c>
      <c r="G205" s="98"/>
      <c r="H205" s="98"/>
      <c r="I205" s="98"/>
      <c r="J205" s="98"/>
      <c r="K205" s="98"/>
      <c r="L205" s="98"/>
      <c r="M205" s="98"/>
      <c r="N205" s="98"/>
      <c r="O205" s="98"/>
      <c r="P205" s="98"/>
      <c r="Q205" s="98"/>
      <c r="R205" s="98"/>
      <c r="S205" s="98"/>
      <c r="T205" s="98"/>
      <c r="U205" s="98"/>
      <c r="V205" s="98"/>
      <c r="W205" s="98"/>
      <c r="X205" s="98"/>
      <c r="Y205" s="98"/>
      <c r="Z205" s="98"/>
    </row>
    <row r="206" spans="1:26" s="99" customFormat="1" x14ac:dyDescent="0.35">
      <c r="A206" s="43" t="s">
        <v>17</v>
      </c>
      <c r="B206" s="43" t="s">
        <v>1675</v>
      </c>
      <c r="C206" s="185"/>
      <c r="D206" s="171" t="s">
        <v>3438</v>
      </c>
      <c r="E206" s="43" t="s">
        <v>3469</v>
      </c>
      <c r="F206" s="43" t="s">
        <v>2793</v>
      </c>
      <c r="G206" s="98"/>
      <c r="H206" s="98"/>
      <c r="I206" s="98"/>
      <c r="J206" s="98"/>
      <c r="K206" s="98"/>
      <c r="L206" s="98"/>
      <c r="M206" s="98"/>
      <c r="N206" s="98"/>
      <c r="O206" s="98"/>
      <c r="P206" s="98"/>
      <c r="Q206" s="98"/>
      <c r="R206" s="98"/>
      <c r="S206" s="98"/>
      <c r="T206" s="98"/>
      <c r="U206" s="98"/>
      <c r="V206" s="98"/>
      <c r="W206" s="98"/>
      <c r="X206" s="98"/>
      <c r="Y206" s="98"/>
      <c r="Z206" s="98"/>
    </row>
    <row r="207" spans="1:26" s="99" customFormat="1" x14ac:dyDescent="0.35">
      <c r="A207" s="43" t="s">
        <v>17</v>
      </c>
      <c r="B207" s="56" t="s">
        <v>1798</v>
      </c>
      <c r="C207" s="162" t="s">
        <v>3470</v>
      </c>
      <c r="D207" s="162" t="s">
        <v>3471</v>
      </c>
      <c r="E207" s="43"/>
      <c r="F207" s="43" t="s">
        <v>2793</v>
      </c>
      <c r="G207" s="98"/>
      <c r="H207" s="98"/>
      <c r="I207" s="98"/>
      <c r="J207" s="98"/>
      <c r="K207" s="98"/>
      <c r="L207" s="98"/>
      <c r="M207" s="98"/>
      <c r="N207" s="98"/>
      <c r="O207" s="98"/>
      <c r="P207" s="98"/>
      <c r="Q207" s="98"/>
      <c r="R207" s="98"/>
      <c r="S207" s="98"/>
      <c r="T207" s="98"/>
      <c r="U207" s="98"/>
      <c r="V207" s="98"/>
      <c r="W207" s="98"/>
      <c r="X207" s="98"/>
      <c r="Y207" s="98"/>
      <c r="Z207" s="98"/>
    </row>
    <row r="208" spans="1:26" s="99" customFormat="1" x14ac:dyDescent="0.35">
      <c r="A208" s="43" t="s">
        <v>70</v>
      </c>
      <c r="B208" s="43" t="s">
        <v>1829</v>
      </c>
      <c r="C208" s="162" t="s">
        <v>1154</v>
      </c>
      <c r="D208" s="162" t="s">
        <v>1880</v>
      </c>
      <c r="E208" s="43" t="s">
        <v>3456</v>
      </c>
      <c r="F208" s="43" t="s">
        <v>2793</v>
      </c>
      <c r="G208" s="98"/>
      <c r="H208" s="98"/>
      <c r="I208" s="98"/>
      <c r="J208" s="98"/>
      <c r="K208" s="98"/>
      <c r="L208" s="98"/>
      <c r="M208" s="98"/>
      <c r="N208" s="98"/>
      <c r="O208" s="98"/>
      <c r="P208" s="98"/>
      <c r="Q208" s="98"/>
      <c r="R208" s="98"/>
      <c r="S208" s="98"/>
      <c r="T208" s="98"/>
      <c r="U208" s="98"/>
      <c r="V208" s="98"/>
      <c r="W208" s="98"/>
      <c r="X208" s="98"/>
      <c r="Y208" s="98"/>
      <c r="Z208" s="98"/>
    </row>
    <row r="209" spans="1:26" s="99" customFormat="1" x14ac:dyDescent="0.35">
      <c r="A209" s="43" t="s">
        <v>71</v>
      </c>
      <c r="B209" s="43" t="s">
        <v>1829</v>
      </c>
      <c r="C209" s="162" t="s">
        <v>3472</v>
      </c>
      <c r="D209" s="162" t="s">
        <v>3473</v>
      </c>
      <c r="E209" s="43" t="s">
        <v>3456</v>
      </c>
      <c r="F209" s="43" t="s">
        <v>2793</v>
      </c>
      <c r="G209" s="98"/>
      <c r="H209" s="98"/>
      <c r="I209" s="98"/>
      <c r="J209" s="98"/>
      <c r="K209" s="98"/>
      <c r="L209" s="98"/>
      <c r="M209" s="98"/>
      <c r="N209" s="98"/>
      <c r="O209" s="98"/>
      <c r="P209" s="98"/>
      <c r="Q209" s="98"/>
      <c r="R209" s="98"/>
      <c r="S209" s="98"/>
      <c r="T209" s="98"/>
      <c r="U209" s="98"/>
      <c r="V209" s="98"/>
      <c r="W209" s="98"/>
      <c r="X209" s="98"/>
      <c r="Y209" s="98"/>
      <c r="Z209" s="98"/>
    </row>
    <row r="210" spans="1:26" s="99" customFormat="1" x14ac:dyDescent="0.35">
      <c r="A210" s="43" t="s">
        <v>72</v>
      </c>
      <c r="B210" s="43" t="s">
        <v>1829</v>
      </c>
      <c r="C210" s="162">
        <v>1</v>
      </c>
      <c r="D210" s="162" t="s">
        <v>3473</v>
      </c>
      <c r="E210" s="43" t="s">
        <v>3456</v>
      </c>
      <c r="F210" s="43" t="s">
        <v>2793</v>
      </c>
      <c r="G210" s="98"/>
      <c r="H210" s="98"/>
      <c r="I210" s="98"/>
      <c r="J210" s="98"/>
      <c r="K210" s="98"/>
      <c r="L210" s="98"/>
      <c r="M210" s="98"/>
      <c r="N210" s="98"/>
      <c r="O210" s="98"/>
      <c r="P210" s="98"/>
      <c r="Q210" s="98"/>
      <c r="R210" s="98"/>
      <c r="S210" s="98"/>
      <c r="T210" s="98"/>
      <c r="U210" s="98"/>
      <c r="V210" s="98"/>
      <c r="W210" s="98"/>
      <c r="X210" s="98"/>
      <c r="Y210" s="98"/>
      <c r="Z210" s="98"/>
    </row>
    <row r="211" spans="1:26" s="99" customFormat="1" x14ac:dyDescent="0.35">
      <c r="A211" s="43" t="s">
        <v>33</v>
      </c>
      <c r="B211" s="43" t="s">
        <v>1829</v>
      </c>
      <c r="C211" s="162">
        <v>9</v>
      </c>
      <c r="D211" s="162">
        <v>999</v>
      </c>
      <c r="E211" s="43" t="s">
        <v>3456</v>
      </c>
      <c r="F211" s="43" t="s">
        <v>2793</v>
      </c>
      <c r="G211" s="98"/>
      <c r="H211" s="98"/>
      <c r="I211" s="98"/>
      <c r="J211" s="98"/>
      <c r="K211" s="98"/>
      <c r="L211" s="98"/>
      <c r="M211" s="98"/>
      <c r="N211" s="98"/>
      <c r="O211" s="98"/>
      <c r="P211" s="98"/>
      <c r="Q211" s="98"/>
      <c r="R211" s="98"/>
      <c r="S211" s="98"/>
      <c r="T211" s="98"/>
      <c r="U211" s="98"/>
      <c r="V211" s="98"/>
      <c r="W211" s="98"/>
      <c r="X211" s="98"/>
      <c r="Y211" s="98"/>
      <c r="Z211" s="98"/>
    </row>
    <row r="212" spans="1:26" s="99" customFormat="1" x14ac:dyDescent="0.35">
      <c r="A212" s="43" t="s">
        <v>33</v>
      </c>
      <c r="B212" s="43" t="s">
        <v>1829</v>
      </c>
      <c r="C212" s="162">
        <v>999</v>
      </c>
      <c r="D212" s="162" t="s">
        <v>1880</v>
      </c>
      <c r="E212" s="43" t="s">
        <v>3474</v>
      </c>
      <c r="F212" s="43" t="s">
        <v>2793</v>
      </c>
      <c r="G212" s="98"/>
      <c r="H212" s="98"/>
      <c r="I212" s="98"/>
      <c r="J212" s="98"/>
      <c r="K212" s="98"/>
      <c r="L212" s="98"/>
      <c r="M212" s="98"/>
      <c r="N212" s="98"/>
      <c r="O212" s="98"/>
      <c r="P212" s="98"/>
      <c r="Q212" s="98"/>
      <c r="R212" s="98"/>
      <c r="S212" s="98"/>
      <c r="T212" s="98"/>
      <c r="U212" s="98"/>
      <c r="V212" s="98"/>
      <c r="W212" s="98"/>
      <c r="X212" s="98"/>
      <c r="Y212" s="98"/>
      <c r="Z212" s="98"/>
    </row>
    <row r="213" spans="1:26" s="99" customFormat="1" x14ac:dyDescent="0.35">
      <c r="A213" s="43" t="s">
        <v>33</v>
      </c>
      <c r="B213" s="43" t="s">
        <v>1704</v>
      </c>
      <c r="C213" s="162">
        <v>999</v>
      </c>
      <c r="D213" s="162" t="s">
        <v>1880</v>
      </c>
      <c r="E213" s="43" t="s">
        <v>3474</v>
      </c>
      <c r="F213" s="43" t="s">
        <v>2793</v>
      </c>
      <c r="G213" s="98"/>
      <c r="H213" s="98"/>
      <c r="I213" s="98"/>
      <c r="J213" s="98"/>
      <c r="K213" s="98"/>
      <c r="L213" s="98"/>
      <c r="M213" s="98"/>
      <c r="N213" s="98"/>
      <c r="O213" s="98"/>
      <c r="P213" s="98"/>
      <c r="Q213" s="98"/>
      <c r="R213" s="98"/>
      <c r="S213" s="98"/>
      <c r="T213" s="98"/>
      <c r="U213" s="98"/>
      <c r="V213" s="98"/>
      <c r="W213" s="98"/>
      <c r="X213" s="98"/>
      <c r="Y213" s="98"/>
      <c r="Z213" s="98"/>
    </row>
    <row r="214" spans="1:26" s="99" customFormat="1" x14ac:dyDescent="0.35">
      <c r="A214" s="43" t="s">
        <v>33</v>
      </c>
      <c r="B214" s="43" t="s">
        <v>1798</v>
      </c>
      <c r="C214" s="162">
        <v>999</v>
      </c>
      <c r="D214" s="162" t="s">
        <v>1880</v>
      </c>
      <c r="E214" s="43" t="s">
        <v>3474</v>
      </c>
      <c r="F214" s="43" t="s">
        <v>2793</v>
      </c>
      <c r="G214" s="98"/>
      <c r="H214" s="98"/>
      <c r="I214" s="98"/>
      <c r="J214" s="98"/>
      <c r="K214" s="98"/>
      <c r="L214" s="98"/>
      <c r="M214" s="98"/>
      <c r="N214" s="98"/>
      <c r="O214" s="98"/>
      <c r="P214" s="98"/>
      <c r="Q214" s="98"/>
      <c r="R214" s="98"/>
      <c r="S214" s="98"/>
      <c r="T214" s="98"/>
      <c r="U214" s="98"/>
      <c r="V214" s="98"/>
      <c r="W214" s="98"/>
      <c r="X214" s="98"/>
      <c r="Y214" s="98"/>
      <c r="Z214" s="98"/>
    </row>
    <row r="215" spans="1:26" x14ac:dyDescent="0.3">
      <c r="A215" s="43" t="s">
        <v>33</v>
      </c>
      <c r="B215" s="43" t="s">
        <v>1829</v>
      </c>
      <c r="C215" s="162">
        <v>999</v>
      </c>
      <c r="D215" s="162" t="s">
        <v>1880</v>
      </c>
      <c r="E215" s="43" t="s">
        <v>3474</v>
      </c>
      <c r="F215" s="43" t="s">
        <v>2793</v>
      </c>
    </row>
    <row r="216" spans="1:26" x14ac:dyDescent="0.3">
      <c r="A216" s="43" t="s">
        <v>33</v>
      </c>
      <c r="B216" s="43" t="s">
        <v>1837</v>
      </c>
      <c r="C216" s="162">
        <v>999</v>
      </c>
      <c r="D216" s="162" t="s">
        <v>1880</v>
      </c>
      <c r="E216" s="43" t="s">
        <v>3474</v>
      </c>
      <c r="F216" s="43" t="s">
        <v>2793</v>
      </c>
    </row>
    <row r="217" spans="1:26" x14ac:dyDescent="0.3">
      <c r="A217" s="43" t="s">
        <v>35</v>
      </c>
      <c r="B217" s="43" t="s">
        <v>1829</v>
      </c>
      <c r="C217" s="162" t="s">
        <v>1154</v>
      </c>
      <c r="D217" s="162" t="s">
        <v>1880</v>
      </c>
      <c r="E217" s="43" t="s">
        <v>3456</v>
      </c>
      <c r="F217" s="43" t="s">
        <v>2793</v>
      </c>
    </row>
    <row r="218" spans="1:26" x14ac:dyDescent="0.3">
      <c r="A218" s="43" t="s">
        <v>36</v>
      </c>
      <c r="B218" s="43" t="s">
        <v>1829</v>
      </c>
      <c r="C218" s="162" t="s">
        <v>3475</v>
      </c>
      <c r="D218" s="162" t="s">
        <v>3473</v>
      </c>
      <c r="E218" s="43" t="s">
        <v>3456</v>
      </c>
      <c r="F218" s="43" t="s">
        <v>2793</v>
      </c>
    </row>
    <row r="219" spans="1:26" x14ac:dyDescent="0.3">
      <c r="A219" s="43" t="s">
        <v>678</v>
      </c>
      <c r="B219" s="43" t="s">
        <v>1654</v>
      </c>
      <c r="C219" s="162" t="s">
        <v>3476</v>
      </c>
      <c r="D219" s="162" t="s">
        <v>3473</v>
      </c>
      <c r="E219" s="43" t="s">
        <v>3429</v>
      </c>
      <c r="F219" s="43" t="s">
        <v>2793</v>
      </c>
    </row>
    <row r="220" spans="1:26" x14ac:dyDescent="0.3">
      <c r="A220" s="43" t="s">
        <v>678</v>
      </c>
      <c r="B220" s="43" t="s">
        <v>1667</v>
      </c>
      <c r="C220" s="162" t="s">
        <v>3476</v>
      </c>
      <c r="D220" s="162" t="s">
        <v>3473</v>
      </c>
      <c r="E220" s="43" t="s">
        <v>3429</v>
      </c>
      <c r="F220" s="43" t="s">
        <v>2793</v>
      </c>
    </row>
    <row r="221" spans="1:26" x14ac:dyDescent="0.3">
      <c r="A221" s="43" t="s">
        <v>678</v>
      </c>
      <c r="B221" s="43" t="s">
        <v>1675</v>
      </c>
      <c r="C221" s="162" t="s">
        <v>3476</v>
      </c>
      <c r="D221" s="162" t="s">
        <v>3473</v>
      </c>
      <c r="E221" s="43" t="s">
        <v>3429</v>
      </c>
      <c r="F221" s="43" t="s">
        <v>2793</v>
      </c>
    </row>
    <row r="222" spans="1:26" x14ac:dyDescent="0.3">
      <c r="A222" s="43" t="s">
        <v>678</v>
      </c>
      <c r="B222" s="43" t="s">
        <v>1686</v>
      </c>
      <c r="C222" s="162" t="s">
        <v>3476</v>
      </c>
      <c r="D222" s="162" t="s">
        <v>3473</v>
      </c>
      <c r="E222" s="43" t="s">
        <v>3429</v>
      </c>
      <c r="F222" s="43" t="s">
        <v>2793</v>
      </c>
    </row>
    <row r="223" spans="1:26" x14ac:dyDescent="0.3">
      <c r="A223" s="43" t="s">
        <v>678</v>
      </c>
      <c r="B223" s="43" t="s">
        <v>1695</v>
      </c>
      <c r="C223" s="162" t="s">
        <v>3476</v>
      </c>
      <c r="D223" s="162" t="s">
        <v>3473</v>
      </c>
      <c r="E223" s="43" t="s">
        <v>3429</v>
      </c>
      <c r="F223" s="43" t="s">
        <v>2793</v>
      </c>
    </row>
    <row r="224" spans="1:26" x14ac:dyDescent="0.3">
      <c r="A224" s="43" t="s">
        <v>678</v>
      </c>
      <c r="B224" s="43" t="s">
        <v>1751</v>
      </c>
      <c r="C224" s="162">
        <v>999</v>
      </c>
      <c r="D224" s="162" t="s">
        <v>3473</v>
      </c>
      <c r="E224" s="43" t="s">
        <v>3429</v>
      </c>
      <c r="F224" s="43" t="s">
        <v>2793</v>
      </c>
    </row>
    <row r="225" spans="1:6" x14ac:dyDescent="0.3">
      <c r="A225" s="43" t="s">
        <v>823</v>
      </c>
      <c r="B225" s="43" t="s">
        <v>1695</v>
      </c>
      <c r="C225" s="162" t="s">
        <v>1154</v>
      </c>
      <c r="D225" s="162" t="s">
        <v>1164</v>
      </c>
      <c r="E225" s="43" t="s">
        <v>3408</v>
      </c>
      <c r="F225" s="43" t="s">
        <v>2793</v>
      </c>
    </row>
    <row r="226" spans="1:6" x14ac:dyDescent="0.3">
      <c r="A226" s="43" t="s">
        <v>829</v>
      </c>
      <c r="B226" s="43" t="s">
        <v>1695</v>
      </c>
      <c r="C226" s="162" t="s">
        <v>3477</v>
      </c>
      <c r="D226" s="162" t="s">
        <v>3473</v>
      </c>
      <c r="E226" s="43" t="s">
        <v>3408</v>
      </c>
      <c r="F226" s="43" t="s">
        <v>2793</v>
      </c>
    </row>
    <row r="227" spans="1:6" x14ac:dyDescent="0.3">
      <c r="A227" s="43" t="s">
        <v>827</v>
      </c>
      <c r="B227" s="43" t="s">
        <v>1695</v>
      </c>
      <c r="C227" s="162">
        <v>1</v>
      </c>
      <c r="D227" s="162">
        <v>0</v>
      </c>
      <c r="E227" s="43" t="s">
        <v>3408</v>
      </c>
      <c r="F227" s="43" t="s">
        <v>2793</v>
      </c>
    </row>
    <row r="228" spans="1:6" x14ac:dyDescent="0.3">
      <c r="A228" s="43" t="s">
        <v>828</v>
      </c>
      <c r="B228" s="43" t="s">
        <v>1695</v>
      </c>
      <c r="C228" s="162">
        <v>0</v>
      </c>
      <c r="D228" s="162">
        <v>1</v>
      </c>
      <c r="E228" s="43" t="s">
        <v>3408</v>
      </c>
      <c r="F228" s="43" t="s">
        <v>2793</v>
      </c>
    </row>
    <row r="229" spans="1:6" x14ac:dyDescent="0.3">
      <c r="A229" s="43" t="s">
        <v>823</v>
      </c>
      <c r="B229" s="43" t="s">
        <v>1686</v>
      </c>
      <c r="C229" s="162" t="s">
        <v>1154</v>
      </c>
      <c r="D229" s="162" t="s">
        <v>1164</v>
      </c>
      <c r="E229" s="43" t="s">
        <v>3408</v>
      </c>
      <c r="F229" s="43" t="s">
        <v>2793</v>
      </c>
    </row>
    <row r="230" spans="1:6" x14ac:dyDescent="0.3">
      <c r="A230" s="43" t="s">
        <v>829</v>
      </c>
      <c r="B230" s="43" t="s">
        <v>1686</v>
      </c>
      <c r="C230" s="162" t="s">
        <v>3478</v>
      </c>
      <c r="D230" s="162" t="s">
        <v>3473</v>
      </c>
      <c r="E230" s="43" t="s">
        <v>3408</v>
      </c>
      <c r="F230" s="43" t="s">
        <v>2793</v>
      </c>
    </row>
    <row r="231" spans="1:6" x14ac:dyDescent="0.3">
      <c r="A231" s="43" t="s">
        <v>827</v>
      </c>
      <c r="B231" s="43" t="s">
        <v>1686</v>
      </c>
      <c r="C231" s="162">
        <v>1</v>
      </c>
      <c r="D231" s="162">
        <v>0</v>
      </c>
      <c r="E231" s="43" t="s">
        <v>3408</v>
      </c>
      <c r="F231" s="43" t="s">
        <v>2793</v>
      </c>
    </row>
    <row r="232" spans="1:6" x14ac:dyDescent="0.3">
      <c r="A232" s="43" t="s">
        <v>828</v>
      </c>
      <c r="B232" s="43" t="s">
        <v>1686</v>
      </c>
      <c r="C232" s="162">
        <v>0</v>
      </c>
      <c r="D232" s="162">
        <v>1</v>
      </c>
      <c r="E232" s="43" t="s">
        <v>3408</v>
      </c>
      <c r="F232" s="43" t="s">
        <v>2793</v>
      </c>
    </row>
    <row r="233" spans="1:6" x14ac:dyDescent="0.3">
      <c r="A233" s="43" t="s">
        <v>830</v>
      </c>
      <c r="B233" s="43" t="s">
        <v>1675</v>
      </c>
      <c r="C233" s="162" t="s">
        <v>1683</v>
      </c>
      <c r="D233" s="162" t="s">
        <v>3479</v>
      </c>
      <c r="E233" s="43" t="s">
        <v>3408</v>
      </c>
      <c r="F233" s="43" t="s">
        <v>2793</v>
      </c>
    </row>
    <row r="234" spans="1:6" x14ac:dyDescent="0.3">
      <c r="A234" s="43" t="s">
        <v>841</v>
      </c>
      <c r="B234" s="43" t="s">
        <v>1675</v>
      </c>
      <c r="C234" s="162">
        <v>1</v>
      </c>
      <c r="D234" s="162">
        <v>0</v>
      </c>
      <c r="E234" s="43" t="s">
        <v>3408</v>
      </c>
      <c r="F234" s="43" t="s">
        <v>2793</v>
      </c>
    </row>
    <row r="235" spans="1:6" x14ac:dyDescent="0.3">
      <c r="A235" s="43" t="s">
        <v>842</v>
      </c>
      <c r="B235" s="43" t="s">
        <v>1675</v>
      </c>
      <c r="C235" s="162" t="s">
        <v>3480</v>
      </c>
      <c r="D235" s="162" t="s">
        <v>3473</v>
      </c>
      <c r="E235" s="43" t="s">
        <v>3408</v>
      </c>
      <c r="F235" s="43" t="s">
        <v>2793</v>
      </c>
    </row>
    <row r="236" spans="1:6" x14ac:dyDescent="0.3">
      <c r="A236" s="43" t="s">
        <v>855</v>
      </c>
      <c r="B236" s="43" t="s">
        <v>1654</v>
      </c>
      <c r="C236" s="162" t="s">
        <v>3481</v>
      </c>
      <c r="D236" s="162" t="s">
        <v>3473</v>
      </c>
      <c r="E236" s="43" t="s">
        <v>3456</v>
      </c>
      <c r="F236" s="43" t="s">
        <v>2793</v>
      </c>
    </row>
    <row r="237" spans="1:6" x14ac:dyDescent="0.3">
      <c r="A237" s="43" t="s">
        <v>843</v>
      </c>
      <c r="B237" s="43" t="s">
        <v>1654</v>
      </c>
      <c r="C237" s="162" t="s">
        <v>3422</v>
      </c>
      <c r="D237" s="162" t="s">
        <v>3482</v>
      </c>
      <c r="E237" s="43" t="s">
        <v>3456</v>
      </c>
      <c r="F237" s="43" t="s">
        <v>2793</v>
      </c>
    </row>
    <row r="238" spans="1:6" x14ac:dyDescent="0.3">
      <c r="A238" s="43" t="s">
        <v>850</v>
      </c>
      <c r="B238" s="43" t="s">
        <v>1654</v>
      </c>
      <c r="C238" s="162">
        <v>0</v>
      </c>
      <c r="D238" s="162">
        <v>1</v>
      </c>
      <c r="E238" s="43" t="s">
        <v>3456</v>
      </c>
      <c r="F238" s="43" t="s">
        <v>2793</v>
      </c>
    </row>
    <row r="239" spans="1:6" x14ac:dyDescent="0.3">
      <c r="A239" s="43" t="s">
        <v>854</v>
      </c>
      <c r="B239" s="43" t="s">
        <v>1654</v>
      </c>
      <c r="C239" s="162">
        <v>1</v>
      </c>
      <c r="D239" s="162">
        <v>0</v>
      </c>
      <c r="E239" s="43" t="s">
        <v>3456</v>
      </c>
      <c r="F239" s="43" t="s">
        <v>2793</v>
      </c>
    </row>
    <row r="240" spans="1:6" x14ac:dyDescent="0.3">
      <c r="A240" s="43" t="s">
        <v>955</v>
      </c>
      <c r="B240" s="43" t="s">
        <v>1714</v>
      </c>
      <c r="C240" s="162">
        <v>999</v>
      </c>
      <c r="D240" s="162" t="s">
        <v>1880</v>
      </c>
      <c r="E240" s="43" t="s">
        <v>3474</v>
      </c>
      <c r="F240" s="43" t="s">
        <v>2793</v>
      </c>
    </row>
    <row r="241" spans="1:6" x14ac:dyDescent="0.3">
      <c r="A241" s="43" t="s">
        <v>955</v>
      </c>
      <c r="B241" s="43" t="s">
        <v>1735</v>
      </c>
      <c r="C241" s="162">
        <v>999</v>
      </c>
      <c r="D241" s="162" t="s">
        <v>1880</v>
      </c>
      <c r="E241" s="43" t="s">
        <v>3474</v>
      </c>
      <c r="F241" s="43" t="s">
        <v>2793</v>
      </c>
    </row>
    <row r="242" spans="1:6" x14ac:dyDescent="0.3">
      <c r="A242" s="43" t="s">
        <v>955</v>
      </c>
      <c r="B242" s="43" t="s">
        <v>1758</v>
      </c>
      <c r="C242" s="162">
        <v>999</v>
      </c>
      <c r="D242" s="162" t="s">
        <v>1880</v>
      </c>
      <c r="E242" s="43" t="s">
        <v>3474</v>
      </c>
      <c r="F242" s="43" t="s">
        <v>2793</v>
      </c>
    </row>
    <row r="243" spans="1:6" x14ac:dyDescent="0.3">
      <c r="A243" s="43" t="s">
        <v>998</v>
      </c>
      <c r="B243" s="43" t="s">
        <v>1758</v>
      </c>
      <c r="C243" s="162" t="s">
        <v>3422</v>
      </c>
      <c r="D243" s="162" t="s">
        <v>3473</v>
      </c>
      <c r="E243" s="43" t="s">
        <v>3429</v>
      </c>
      <c r="F243" s="43" t="s">
        <v>2793</v>
      </c>
    </row>
    <row r="244" spans="1:6" x14ac:dyDescent="0.3">
      <c r="A244" s="43" t="s">
        <v>999</v>
      </c>
      <c r="B244" s="43" t="s">
        <v>1758</v>
      </c>
      <c r="C244" s="162">
        <v>0</v>
      </c>
      <c r="D244" s="162" t="s">
        <v>3473</v>
      </c>
      <c r="E244" s="43" t="s">
        <v>3429</v>
      </c>
      <c r="F244" s="43" t="s">
        <v>2793</v>
      </c>
    </row>
    <row r="245" spans="1:6" x14ac:dyDescent="0.3">
      <c r="A245" s="43" t="s">
        <v>1000</v>
      </c>
      <c r="B245" s="43" t="s">
        <v>1758</v>
      </c>
      <c r="C245" s="162">
        <v>0</v>
      </c>
      <c r="D245" s="162" t="s">
        <v>3473</v>
      </c>
      <c r="E245" s="43" t="s">
        <v>3429</v>
      </c>
      <c r="F245" s="43" t="s">
        <v>2793</v>
      </c>
    </row>
    <row r="246" spans="1:6" x14ac:dyDescent="0.3">
      <c r="A246" s="43" t="s">
        <v>1001</v>
      </c>
      <c r="B246" s="43" t="s">
        <v>1758</v>
      </c>
      <c r="C246" s="162">
        <v>0</v>
      </c>
      <c r="D246" s="162" t="s">
        <v>3473</v>
      </c>
      <c r="E246" s="43" t="s">
        <v>3429</v>
      </c>
      <c r="F246" s="43" t="s">
        <v>2793</v>
      </c>
    </row>
    <row r="247" spans="1:6" x14ac:dyDescent="0.3">
      <c r="A247" s="43" t="s">
        <v>1002</v>
      </c>
      <c r="B247" s="43" t="s">
        <v>1758</v>
      </c>
      <c r="C247" s="162">
        <v>0</v>
      </c>
      <c r="D247" s="162" t="s">
        <v>3473</v>
      </c>
      <c r="E247" s="43" t="s">
        <v>3429</v>
      </c>
      <c r="F247" s="43" t="s">
        <v>2793</v>
      </c>
    </row>
    <row r="248" spans="1:6" x14ac:dyDescent="0.3">
      <c r="A248" s="43" t="s">
        <v>1003</v>
      </c>
      <c r="B248" s="43" t="s">
        <v>1758</v>
      </c>
      <c r="C248" s="162">
        <v>0</v>
      </c>
      <c r="D248" s="162" t="s">
        <v>3473</v>
      </c>
      <c r="E248" s="43" t="s">
        <v>3429</v>
      </c>
      <c r="F248" s="43" t="s">
        <v>2793</v>
      </c>
    </row>
    <row r="249" spans="1:6" x14ac:dyDescent="0.3">
      <c r="A249" s="43" t="s">
        <v>1004</v>
      </c>
      <c r="B249" s="43" t="s">
        <v>1758</v>
      </c>
      <c r="C249" s="162">
        <v>0</v>
      </c>
      <c r="D249" s="162" t="s">
        <v>3473</v>
      </c>
      <c r="E249" s="43" t="s">
        <v>3429</v>
      </c>
      <c r="F249" s="43" t="s">
        <v>2793</v>
      </c>
    </row>
    <row r="250" spans="1:6" x14ac:dyDescent="0.3">
      <c r="A250" s="43" t="s">
        <v>1005</v>
      </c>
      <c r="B250" s="43" t="s">
        <v>1758</v>
      </c>
      <c r="C250" s="162">
        <v>0</v>
      </c>
      <c r="D250" s="162" t="s">
        <v>3473</v>
      </c>
      <c r="E250" s="43" t="s">
        <v>3429</v>
      </c>
      <c r="F250" s="43" t="s">
        <v>2793</v>
      </c>
    </row>
    <row r="251" spans="1:6" x14ac:dyDescent="0.3">
      <c r="A251" s="43" t="s">
        <v>1006</v>
      </c>
      <c r="B251" s="43" t="s">
        <v>1758</v>
      </c>
      <c r="C251" s="162">
        <v>0</v>
      </c>
      <c r="D251" s="162" t="s">
        <v>3473</v>
      </c>
      <c r="E251" s="43" t="s">
        <v>3429</v>
      </c>
      <c r="F251" s="43" t="s">
        <v>2793</v>
      </c>
    </row>
    <row r="252" spans="1:6" x14ac:dyDescent="0.3">
      <c r="A252" s="43" t="s">
        <v>1007</v>
      </c>
      <c r="B252" s="43" t="s">
        <v>1758</v>
      </c>
      <c r="C252" s="162">
        <v>1</v>
      </c>
      <c r="D252" s="162" t="s">
        <v>3473</v>
      </c>
      <c r="E252" s="43" t="s">
        <v>3429</v>
      </c>
      <c r="F252" s="43" t="s">
        <v>2793</v>
      </c>
    </row>
    <row r="253" spans="1:6" x14ac:dyDescent="0.3">
      <c r="A253" s="43" t="s">
        <v>998</v>
      </c>
      <c r="B253" s="43" t="s">
        <v>1714</v>
      </c>
      <c r="C253" s="162" t="s">
        <v>1723</v>
      </c>
      <c r="D253" s="162" t="s">
        <v>3483</v>
      </c>
      <c r="E253" s="43" t="s">
        <v>3442</v>
      </c>
      <c r="F253" s="43" t="s">
        <v>2793</v>
      </c>
    </row>
    <row r="254" spans="1:6" x14ac:dyDescent="0.3">
      <c r="A254" s="43" t="s">
        <v>1006</v>
      </c>
      <c r="B254" s="43" t="s">
        <v>1714</v>
      </c>
      <c r="C254" s="162">
        <v>1</v>
      </c>
      <c r="D254" s="162">
        <v>0</v>
      </c>
      <c r="E254" s="43" t="s">
        <v>3442</v>
      </c>
      <c r="F254" s="43" t="s">
        <v>2793</v>
      </c>
    </row>
    <row r="255" spans="1:6" x14ac:dyDescent="0.3">
      <c r="A255" s="43" t="s">
        <v>1008</v>
      </c>
      <c r="B255" s="43" t="s">
        <v>1758</v>
      </c>
      <c r="C255" s="162" t="s">
        <v>1154</v>
      </c>
      <c r="D255" s="162" t="s">
        <v>3473</v>
      </c>
      <c r="E255" s="43" t="s">
        <v>3429</v>
      </c>
      <c r="F255" s="43" t="s">
        <v>2793</v>
      </c>
    </row>
    <row r="256" spans="1:6" x14ac:dyDescent="0.3">
      <c r="A256" s="43" t="s">
        <v>1009</v>
      </c>
      <c r="B256" s="43" t="s">
        <v>1758</v>
      </c>
      <c r="C256" s="162" t="s">
        <v>2090</v>
      </c>
      <c r="D256" s="162" t="s">
        <v>3473</v>
      </c>
      <c r="E256" s="43" t="s">
        <v>3429</v>
      </c>
      <c r="F256" s="43" t="s">
        <v>2793</v>
      </c>
    </row>
    <row r="257" spans="1:6" x14ac:dyDescent="0.3">
      <c r="A257" s="43" t="s">
        <v>1010</v>
      </c>
      <c r="B257" s="43" t="s">
        <v>1758</v>
      </c>
      <c r="C257" s="162" t="s">
        <v>1154</v>
      </c>
      <c r="D257" s="162" t="s">
        <v>3473</v>
      </c>
      <c r="E257" s="43" t="s">
        <v>3429</v>
      </c>
      <c r="F257" s="43" t="s">
        <v>2793</v>
      </c>
    </row>
    <row r="258" spans="1:6" x14ac:dyDescent="0.3">
      <c r="A258" s="43" t="s">
        <v>1011</v>
      </c>
      <c r="B258" s="43" t="s">
        <v>1758</v>
      </c>
      <c r="C258" s="162" t="s">
        <v>2090</v>
      </c>
      <c r="D258" s="162" t="s">
        <v>3473</v>
      </c>
      <c r="E258" s="43" t="s">
        <v>3429</v>
      </c>
      <c r="F258" s="43" t="s">
        <v>2793</v>
      </c>
    </row>
    <row r="259" spans="1:6" x14ac:dyDescent="0.3">
      <c r="A259" s="43" t="s">
        <v>1013</v>
      </c>
      <c r="B259" s="43" t="s">
        <v>1714</v>
      </c>
      <c r="C259" s="162" t="s">
        <v>1154</v>
      </c>
      <c r="D259" s="162">
        <v>60</v>
      </c>
      <c r="E259" s="43" t="s">
        <v>3484</v>
      </c>
      <c r="F259" s="43" t="s">
        <v>2793</v>
      </c>
    </row>
    <row r="260" spans="1:6" x14ac:dyDescent="0.3">
      <c r="A260" s="43" t="s">
        <v>1617</v>
      </c>
      <c r="B260" s="43" t="s">
        <v>1735</v>
      </c>
      <c r="C260" s="162" t="s">
        <v>1154</v>
      </c>
      <c r="D260" s="162" t="s">
        <v>3473</v>
      </c>
      <c r="E260" s="43" t="s">
        <v>3429</v>
      </c>
      <c r="F260" s="43" t="s">
        <v>2793</v>
      </c>
    </row>
    <row r="261" spans="1:6" x14ac:dyDescent="0.3">
      <c r="A261" s="43" t="s">
        <v>1617</v>
      </c>
      <c r="B261" s="43" t="s">
        <v>1758</v>
      </c>
      <c r="C261" s="162" t="s">
        <v>1154</v>
      </c>
      <c r="D261" s="162" t="s">
        <v>3473</v>
      </c>
      <c r="E261" s="43" t="s">
        <v>3429</v>
      </c>
      <c r="F261" s="43" t="s">
        <v>2793</v>
      </c>
    </row>
    <row r="262" spans="1:6" x14ac:dyDescent="0.3">
      <c r="A262" s="43" t="s">
        <v>1617</v>
      </c>
      <c r="B262" s="43" t="s">
        <v>1778</v>
      </c>
      <c r="C262" s="162" t="s">
        <v>1154</v>
      </c>
      <c r="D262" s="162" t="s">
        <v>3473</v>
      </c>
      <c r="E262" s="43" t="s">
        <v>3429</v>
      </c>
      <c r="F262" s="43" t="s">
        <v>2793</v>
      </c>
    </row>
    <row r="263" spans="1:6" x14ac:dyDescent="0.3">
      <c r="A263" s="43" t="s">
        <v>1644</v>
      </c>
      <c r="B263" s="43" t="s">
        <v>1778</v>
      </c>
      <c r="C263" s="162">
        <v>44</v>
      </c>
      <c r="D263" s="162" t="s">
        <v>3485</v>
      </c>
      <c r="E263" s="43" t="s">
        <v>3456</v>
      </c>
      <c r="F263" s="43" t="s">
        <v>2793</v>
      </c>
    </row>
    <row r="264" spans="1:6" x14ac:dyDescent="0.3">
      <c r="A264" s="43" t="s">
        <v>1647</v>
      </c>
      <c r="B264" s="43" t="s">
        <v>1758</v>
      </c>
      <c r="C264" s="162">
        <v>999</v>
      </c>
      <c r="D264" s="162">
        <v>0</v>
      </c>
      <c r="E264" s="43" t="s">
        <v>3456</v>
      </c>
      <c r="F264" s="43" t="s">
        <v>2793</v>
      </c>
    </row>
    <row r="265" spans="1:6" x14ac:dyDescent="0.3">
      <c r="A265" s="43" t="s">
        <v>1072</v>
      </c>
      <c r="B265" s="43" t="s">
        <v>1758</v>
      </c>
      <c r="C265" s="162" t="s">
        <v>3486</v>
      </c>
      <c r="D265" s="162" t="s">
        <v>2027</v>
      </c>
      <c r="E265" s="43" t="s">
        <v>3456</v>
      </c>
      <c r="F265" s="43" t="s">
        <v>2793</v>
      </c>
    </row>
    <row r="266" spans="1:6" x14ac:dyDescent="0.3">
      <c r="A266" s="43" t="s">
        <v>1078</v>
      </c>
      <c r="B266" s="43" t="s">
        <v>1758</v>
      </c>
      <c r="C266" s="162">
        <v>0</v>
      </c>
      <c r="D266" s="162">
        <v>1</v>
      </c>
      <c r="E266" s="43" t="s">
        <v>3456</v>
      </c>
      <c r="F266" s="43" t="s">
        <v>2793</v>
      </c>
    </row>
    <row r="267" spans="1:6" x14ac:dyDescent="0.3">
      <c r="A267" s="43" t="s">
        <v>1084</v>
      </c>
      <c r="B267" s="43" t="s">
        <v>1758</v>
      </c>
      <c r="C267" s="162">
        <v>1</v>
      </c>
      <c r="D267" s="162">
        <v>0</v>
      </c>
      <c r="E267" s="43" t="s">
        <v>3456</v>
      </c>
      <c r="F267" s="43" t="s">
        <v>2793</v>
      </c>
    </row>
    <row r="268" spans="1:6" x14ac:dyDescent="0.3">
      <c r="A268" s="56" t="s">
        <v>1149</v>
      </c>
      <c r="B268" s="56" t="s">
        <v>3383</v>
      </c>
      <c r="C268" s="162" t="s">
        <v>1805</v>
      </c>
      <c r="D268" s="162" t="s">
        <v>3383</v>
      </c>
      <c r="E268" s="43" t="s">
        <v>3487</v>
      </c>
      <c r="F268" s="43" t="s">
        <v>2793</v>
      </c>
    </row>
    <row r="269" spans="1:6" x14ac:dyDescent="0.3">
      <c r="A269" s="43" t="s">
        <v>421</v>
      </c>
      <c r="B269" s="43" t="s">
        <v>1805</v>
      </c>
      <c r="C269" s="162">
        <v>1</v>
      </c>
      <c r="D269" s="162">
        <v>0</v>
      </c>
      <c r="E269" s="43" t="s">
        <v>3456</v>
      </c>
      <c r="F269" s="43" t="s">
        <v>2793</v>
      </c>
    </row>
    <row r="270" spans="1:6" x14ac:dyDescent="0.3">
      <c r="A270" s="43" t="s">
        <v>422</v>
      </c>
      <c r="B270" s="43" t="s">
        <v>1805</v>
      </c>
      <c r="C270" s="162" t="s">
        <v>3488</v>
      </c>
      <c r="D270" s="162" t="s">
        <v>3473</v>
      </c>
      <c r="E270" s="43" t="s">
        <v>3456</v>
      </c>
      <c r="F270" s="43" t="s">
        <v>2793</v>
      </c>
    </row>
    <row r="271" spans="1:6" x14ac:dyDescent="0.3">
      <c r="A271" s="43" t="s">
        <v>490</v>
      </c>
      <c r="B271" s="43" t="s">
        <v>1805</v>
      </c>
      <c r="C271" s="162" t="s">
        <v>1155</v>
      </c>
      <c r="D271" s="162" t="s">
        <v>2090</v>
      </c>
      <c r="E271" s="43" t="s">
        <v>3429</v>
      </c>
      <c r="F271" s="43" t="s">
        <v>2793</v>
      </c>
    </row>
    <row r="272" spans="1:6" x14ac:dyDescent="0.3">
      <c r="A272" s="43" t="s">
        <v>490</v>
      </c>
      <c r="B272" s="43" t="s">
        <v>1805</v>
      </c>
      <c r="C272" s="162" t="s">
        <v>1155</v>
      </c>
      <c r="D272" s="162" t="s">
        <v>2090</v>
      </c>
      <c r="E272" s="43" t="s">
        <v>3429</v>
      </c>
      <c r="F272" s="43" t="s">
        <v>2793</v>
      </c>
    </row>
    <row r="273" spans="1:26" x14ac:dyDescent="0.3">
      <c r="A273" s="43" t="s">
        <v>512</v>
      </c>
      <c r="B273" s="43" t="s">
        <v>1805</v>
      </c>
      <c r="C273" s="162" t="s">
        <v>1154</v>
      </c>
      <c r="D273" s="162" t="s">
        <v>1164</v>
      </c>
      <c r="E273" s="43" t="s">
        <v>3456</v>
      </c>
      <c r="F273" s="43" t="s">
        <v>2793</v>
      </c>
    </row>
    <row r="274" spans="1:26" x14ac:dyDescent="0.3">
      <c r="A274" s="43" t="s">
        <v>516</v>
      </c>
      <c r="B274" s="43" t="s">
        <v>1805</v>
      </c>
      <c r="C274" s="162">
        <v>1</v>
      </c>
      <c r="D274" s="162">
        <v>0</v>
      </c>
      <c r="E274" s="43" t="s">
        <v>3456</v>
      </c>
      <c r="F274" s="43" t="s">
        <v>2793</v>
      </c>
    </row>
    <row r="275" spans="1:26" s="56" customFormat="1" x14ac:dyDescent="0.35">
      <c r="A275" s="43" t="s">
        <v>517</v>
      </c>
      <c r="B275" s="43" t="s">
        <v>1805</v>
      </c>
      <c r="C275" s="162">
        <v>0</v>
      </c>
      <c r="D275" s="162">
        <v>1</v>
      </c>
      <c r="E275" s="43" t="s">
        <v>3456</v>
      </c>
      <c r="F275" s="43" t="s">
        <v>2793</v>
      </c>
      <c r="G275" s="36"/>
      <c r="H275" s="36"/>
      <c r="I275" s="36"/>
      <c r="J275" s="36"/>
      <c r="K275" s="36"/>
      <c r="L275" s="36"/>
      <c r="M275" s="36"/>
      <c r="N275" s="36"/>
      <c r="O275" s="36"/>
      <c r="P275" s="36"/>
      <c r="Q275" s="36"/>
      <c r="R275" s="36"/>
      <c r="S275" s="36"/>
      <c r="T275" s="36"/>
      <c r="U275" s="36"/>
      <c r="V275" s="36"/>
      <c r="W275" s="36"/>
      <c r="X275" s="36"/>
      <c r="Y275" s="36"/>
      <c r="Z275" s="36"/>
    </row>
    <row r="276" spans="1:26" x14ac:dyDescent="0.3">
      <c r="A276" s="43" t="s">
        <v>518</v>
      </c>
      <c r="B276" s="43" t="s">
        <v>1805</v>
      </c>
      <c r="C276" s="162" t="s">
        <v>3489</v>
      </c>
      <c r="D276" s="162" t="s">
        <v>3473</v>
      </c>
      <c r="E276" s="43" t="s">
        <v>3456</v>
      </c>
      <c r="F276" s="43" t="s">
        <v>2793</v>
      </c>
    </row>
    <row r="277" spans="1:26" x14ac:dyDescent="0.3">
      <c r="A277" s="43" t="s">
        <v>554</v>
      </c>
      <c r="B277" s="43" t="s">
        <v>1805</v>
      </c>
      <c r="C277" s="162" t="s">
        <v>1154</v>
      </c>
      <c r="D277" s="162" t="s">
        <v>3490</v>
      </c>
      <c r="E277" s="43" t="s">
        <v>3456</v>
      </c>
      <c r="F277" s="43" t="s">
        <v>2793</v>
      </c>
    </row>
    <row r="278" spans="1:26" x14ac:dyDescent="0.3">
      <c r="A278" s="43" t="s">
        <v>558</v>
      </c>
      <c r="B278" s="43" t="s">
        <v>1805</v>
      </c>
      <c r="C278" s="162">
        <v>0</v>
      </c>
      <c r="D278" s="162">
        <v>1</v>
      </c>
      <c r="E278" s="43" t="s">
        <v>3456</v>
      </c>
      <c r="F278" s="43" t="s">
        <v>2793</v>
      </c>
    </row>
    <row r="279" spans="1:26" s="57" customFormat="1" ht="28" x14ac:dyDescent="0.3">
      <c r="A279" s="164" t="s">
        <v>463</v>
      </c>
      <c r="B279" s="164" t="s">
        <v>1805</v>
      </c>
      <c r="C279" s="165">
        <v>35</v>
      </c>
      <c r="D279" s="169"/>
      <c r="E279" s="170" t="s">
        <v>3459</v>
      </c>
      <c r="F279" s="164" t="s">
        <v>1869</v>
      </c>
      <c r="G279" s="10"/>
      <c r="H279" s="10"/>
      <c r="I279" s="10"/>
      <c r="J279" s="10"/>
      <c r="K279" s="10"/>
      <c r="L279" s="10"/>
      <c r="M279" s="10"/>
      <c r="N279" s="10"/>
      <c r="O279" s="10"/>
      <c r="P279" s="10"/>
      <c r="Q279" s="10"/>
      <c r="R279" s="10"/>
      <c r="S279" s="10"/>
      <c r="T279" s="10"/>
      <c r="U279" s="10"/>
      <c r="V279" s="10"/>
      <c r="W279" s="10"/>
      <c r="X279" s="10"/>
      <c r="Y279" s="10"/>
      <c r="Z279" s="10"/>
    </row>
    <row r="280" spans="1:26" x14ac:dyDescent="0.3">
      <c r="A280" s="43" t="s">
        <v>1647</v>
      </c>
      <c r="B280" s="43" t="s">
        <v>1735</v>
      </c>
      <c r="C280" s="162">
        <v>0</v>
      </c>
      <c r="D280" s="162" t="s">
        <v>2090</v>
      </c>
      <c r="E280" s="43" t="s">
        <v>3429</v>
      </c>
      <c r="F280" s="43" t="s">
        <v>2793</v>
      </c>
    </row>
    <row r="281" spans="1:26" x14ac:dyDescent="0.3">
      <c r="A281" s="43" t="s">
        <v>1647</v>
      </c>
      <c r="B281" s="43" t="s">
        <v>1758</v>
      </c>
      <c r="C281" s="162">
        <v>0</v>
      </c>
      <c r="D281" s="162" t="s">
        <v>2090</v>
      </c>
      <c r="E281" s="43" t="s">
        <v>3429</v>
      </c>
      <c r="F281" s="43" t="s">
        <v>2793</v>
      </c>
    </row>
    <row r="282" spans="1:26" x14ac:dyDescent="0.3">
      <c r="A282" s="43" t="s">
        <v>1647</v>
      </c>
      <c r="B282" s="43" t="s">
        <v>1778</v>
      </c>
      <c r="C282" s="162">
        <v>0</v>
      </c>
      <c r="D282" s="162" t="s">
        <v>2090</v>
      </c>
      <c r="E282" s="43" t="s">
        <v>3429</v>
      </c>
      <c r="F282" s="43" t="s">
        <v>2793</v>
      </c>
    </row>
    <row r="283" spans="1:26" x14ac:dyDescent="0.3">
      <c r="A283" s="43" t="s">
        <v>639</v>
      </c>
      <c r="B283" s="43" t="s">
        <v>1805</v>
      </c>
      <c r="C283" s="162">
        <v>999</v>
      </c>
      <c r="D283" s="162" t="s">
        <v>1880</v>
      </c>
      <c r="E283" s="43" t="s">
        <v>3474</v>
      </c>
      <c r="F283" s="43" t="s">
        <v>2793</v>
      </c>
    </row>
    <row r="284" spans="1:26" x14ac:dyDescent="0.3">
      <c r="A284" s="159" t="s">
        <v>3491</v>
      </c>
      <c r="B284" s="160"/>
      <c r="C284" s="160"/>
      <c r="D284" s="160"/>
      <c r="E284" s="160"/>
      <c r="F284" s="161"/>
    </row>
    <row r="285" spans="1:26" x14ac:dyDescent="0.3">
      <c r="A285" s="43" t="s">
        <v>33</v>
      </c>
      <c r="B285" s="43" t="s">
        <v>2141</v>
      </c>
      <c r="C285" s="162">
        <v>999</v>
      </c>
      <c r="D285" s="162" t="s">
        <v>1880</v>
      </c>
      <c r="E285" s="43" t="s">
        <v>3474</v>
      </c>
      <c r="F285" s="43" t="s">
        <v>2793</v>
      </c>
    </row>
    <row r="286" spans="1:26" x14ac:dyDescent="0.3">
      <c r="A286" s="43" t="s">
        <v>33</v>
      </c>
      <c r="B286" s="43" t="s">
        <v>2164</v>
      </c>
      <c r="C286" s="162">
        <v>999</v>
      </c>
      <c r="D286" s="162" t="s">
        <v>1880</v>
      </c>
      <c r="E286" s="43" t="s">
        <v>3474</v>
      </c>
      <c r="F286" s="43" t="s">
        <v>2793</v>
      </c>
    </row>
    <row r="287" spans="1:26" x14ac:dyDescent="0.3">
      <c r="A287" s="43" t="s">
        <v>33</v>
      </c>
      <c r="B287" s="43" t="s">
        <v>2172</v>
      </c>
      <c r="C287" s="162">
        <v>999</v>
      </c>
      <c r="D287" s="162" t="s">
        <v>1880</v>
      </c>
      <c r="E287" s="43" t="s">
        <v>3474</v>
      </c>
      <c r="F287" s="43" t="s">
        <v>2793</v>
      </c>
    </row>
    <row r="288" spans="1:26" x14ac:dyDescent="0.3">
      <c r="A288" s="43" t="s">
        <v>33</v>
      </c>
      <c r="B288" s="43" t="s">
        <v>2178</v>
      </c>
      <c r="C288" s="162">
        <v>999</v>
      </c>
      <c r="D288" s="162" t="s">
        <v>1880</v>
      </c>
      <c r="E288" s="43" t="s">
        <v>3474</v>
      </c>
      <c r="F288" s="43" t="s">
        <v>2793</v>
      </c>
    </row>
    <row r="289" spans="1:26" x14ac:dyDescent="0.3">
      <c r="A289" s="43" t="s">
        <v>33</v>
      </c>
      <c r="B289" s="43" t="s">
        <v>2255</v>
      </c>
      <c r="C289" s="162">
        <v>999</v>
      </c>
      <c r="D289" s="162" t="s">
        <v>1880</v>
      </c>
      <c r="E289" s="43" t="s">
        <v>3474</v>
      </c>
      <c r="F289" s="43" t="s">
        <v>2793</v>
      </c>
    </row>
    <row r="290" spans="1:26" x14ac:dyDescent="0.3">
      <c r="A290" s="43" t="s">
        <v>33</v>
      </c>
      <c r="B290" s="43" t="s">
        <v>2274</v>
      </c>
      <c r="C290" s="162">
        <v>999</v>
      </c>
      <c r="D290" s="162" t="s">
        <v>1880</v>
      </c>
      <c r="E290" s="43" t="s">
        <v>3474</v>
      </c>
      <c r="F290" s="43" t="s">
        <v>2793</v>
      </c>
    </row>
    <row r="291" spans="1:26" x14ac:dyDescent="0.3">
      <c r="A291" s="43" t="s">
        <v>33</v>
      </c>
      <c r="B291" s="43" t="s">
        <v>2282</v>
      </c>
      <c r="C291" s="162">
        <v>999</v>
      </c>
      <c r="D291" s="162" t="s">
        <v>1880</v>
      </c>
      <c r="E291" s="43" t="s">
        <v>3474</v>
      </c>
      <c r="F291" s="43" t="s">
        <v>2793</v>
      </c>
    </row>
    <row r="292" spans="1:26" x14ac:dyDescent="0.3">
      <c r="A292" s="43" t="s">
        <v>33</v>
      </c>
      <c r="B292" s="43" t="s">
        <v>2288</v>
      </c>
      <c r="C292" s="162">
        <v>999</v>
      </c>
      <c r="D292" s="162" t="s">
        <v>1880</v>
      </c>
      <c r="E292" s="43" t="s">
        <v>3474</v>
      </c>
      <c r="F292" s="43" t="s">
        <v>2793</v>
      </c>
    </row>
    <row r="293" spans="1:26" x14ac:dyDescent="0.3">
      <c r="A293" s="43" t="s">
        <v>823</v>
      </c>
      <c r="B293" s="43" t="s">
        <v>2207</v>
      </c>
      <c r="C293" s="162" t="s">
        <v>1154</v>
      </c>
      <c r="D293" s="162" t="s">
        <v>1164</v>
      </c>
      <c r="E293" s="43" t="s">
        <v>3408</v>
      </c>
      <c r="F293" s="43" t="s">
        <v>2793</v>
      </c>
    </row>
    <row r="294" spans="1:26" x14ac:dyDescent="0.3">
      <c r="A294" s="43" t="s">
        <v>823</v>
      </c>
      <c r="B294" s="43" t="s">
        <v>2297</v>
      </c>
      <c r="C294" s="162" t="s">
        <v>1154</v>
      </c>
      <c r="D294" s="162" t="s">
        <v>1164</v>
      </c>
      <c r="E294" s="43" t="s">
        <v>3408</v>
      </c>
      <c r="F294" s="43" t="s">
        <v>2793</v>
      </c>
    </row>
    <row r="295" spans="1:26" x14ac:dyDescent="0.3">
      <c r="A295" s="43" t="s">
        <v>827</v>
      </c>
      <c r="B295" s="43" t="s">
        <v>2207</v>
      </c>
      <c r="C295" s="162">
        <v>1</v>
      </c>
      <c r="D295" s="162">
        <v>0</v>
      </c>
      <c r="E295" s="43" t="s">
        <v>3408</v>
      </c>
      <c r="F295" s="43" t="s">
        <v>2793</v>
      </c>
    </row>
    <row r="296" spans="1:26" x14ac:dyDescent="0.3">
      <c r="A296" s="43" t="s">
        <v>827</v>
      </c>
      <c r="B296" s="43" t="s">
        <v>2297</v>
      </c>
      <c r="C296" s="162">
        <v>1</v>
      </c>
      <c r="D296" s="162">
        <v>0</v>
      </c>
      <c r="E296" s="43" t="s">
        <v>3408</v>
      </c>
      <c r="F296" s="43" t="s">
        <v>2793</v>
      </c>
    </row>
    <row r="297" spans="1:26" x14ac:dyDescent="0.3">
      <c r="A297" s="43" t="s">
        <v>828</v>
      </c>
      <c r="B297" s="43" t="s">
        <v>2207</v>
      </c>
      <c r="C297" s="162">
        <v>0</v>
      </c>
      <c r="D297" s="162">
        <v>1</v>
      </c>
      <c r="E297" s="43" t="s">
        <v>3408</v>
      </c>
      <c r="F297" s="43" t="s">
        <v>2793</v>
      </c>
    </row>
    <row r="298" spans="1:26" x14ac:dyDescent="0.3">
      <c r="A298" s="43" t="s">
        <v>828</v>
      </c>
      <c r="B298" s="43" t="s">
        <v>2297</v>
      </c>
      <c r="C298" s="162">
        <v>0</v>
      </c>
      <c r="D298" s="162">
        <v>1</v>
      </c>
      <c r="E298" s="43" t="s">
        <v>3408</v>
      </c>
      <c r="F298" s="43" t="s">
        <v>2793</v>
      </c>
    </row>
    <row r="299" spans="1:26" x14ac:dyDescent="0.3">
      <c r="A299" s="43" t="s">
        <v>955</v>
      </c>
      <c r="B299" s="43" t="s">
        <v>2238</v>
      </c>
      <c r="C299" s="162">
        <v>999</v>
      </c>
      <c r="D299" s="162" t="s">
        <v>1880</v>
      </c>
      <c r="E299" s="43" t="s">
        <v>3474</v>
      </c>
      <c r="F299" s="43" t="s">
        <v>2793</v>
      </c>
    </row>
    <row r="300" spans="1:26" s="57" customFormat="1" ht="28" x14ac:dyDescent="0.3">
      <c r="A300" s="164" t="s">
        <v>463</v>
      </c>
      <c r="B300" s="164" t="s">
        <v>2187</v>
      </c>
      <c r="C300" s="162">
        <v>18</v>
      </c>
      <c r="D300" s="162">
        <v>28</v>
      </c>
      <c r="E300" s="169" t="s">
        <v>3492</v>
      </c>
      <c r="F300" s="164" t="s">
        <v>2793</v>
      </c>
      <c r="G300" s="10"/>
      <c r="H300" s="10"/>
      <c r="I300" s="10"/>
      <c r="J300" s="10"/>
      <c r="K300" s="10"/>
      <c r="L300" s="10"/>
      <c r="M300" s="10"/>
      <c r="N300" s="10"/>
      <c r="O300" s="10"/>
      <c r="P300" s="10"/>
      <c r="Q300" s="10"/>
      <c r="R300" s="10"/>
      <c r="S300" s="10"/>
      <c r="T300" s="10"/>
      <c r="U300" s="10"/>
      <c r="V300" s="10"/>
      <c r="W300" s="10"/>
      <c r="X300" s="10"/>
      <c r="Y300" s="10"/>
      <c r="Z300" s="10"/>
    </row>
    <row r="301" spans="1:26" x14ac:dyDescent="0.3">
      <c r="A301" s="43" t="s">
        <v>637</v>
      </c>
      <c r="B301" s="43" t="s">
        <v>2091</v>
      </c>
      <c r="C301" s="162">
        <v>999</v>
      </c>
      <c r="D301" s="162" t="s">
        <v>1880</v>
      </c>
      <c r="E301" s="43" t="s">
        <v>3474</v>
      </c>
      <c r="F301" s="43" t="s">
        <v>2793</v>
      </c>
    </row>
    <row r="302" spans="1:26" x14ac:dyDescent="0.3">
      <c r="A302" s="43" t="s">
        <v>637</v>
      </c>
      <c r="B302" s="43" t="s">
        <v>2111</v>
      </c>
      <c r="C302" s="162">
        <v>999</v>
      </c>
      <c r="D302" s="162" t="s">
        <v>1880</v>
      </c>
      <c r="E302" s="43" t="s">
        <v>3474</v>
      </c>
      <c r="F302" s="43" t="s">
        <v>2793</v>
      </c>
    </row>
    <row r="303" spans="1:26" x14ac:dyDescent="0.3">
      <c r="A303" s="43" t="s">
        <v>637</v>
      </c>
      <c r="B303" s="43" t="s">
        <v>2134</v>
      </c>
      <c r="C303" s="162">
        <v>999</v>
      </c>
      <c r="D303" s="162" t="s">
        <v>1880</v>
      </c>
      <c r="E303" s="43" t="s">
        <v>3474</v>
      </c>
      <c r="F303" s="43" t="s">
        <v>2793</v>
      </c>
    </row>
    <row r="304" spans="1:26" x14ac:dyDescent="0.3">
      <c r="A304" s="43" t="s">
        <v>637</v>
      </c>
      <c r="B304" s="43" t="s">
        <v>2187</v>
      </c>
      <c r="C304" s="162">
        <v>999</v>
      </c>
      <c r="D304" s="162" t="s">
        <v>1880</v>
      </c>
      <c r="E304" s="43" t="s">
        <v>3474</v>
      </c>
      <c r="F304" s="43" t="s">
        <v>2793</v>
      </c>
    </row>
    <row r="305" spans="1:26" x14ac:dyDescent="0.3">
      <c r="A305" s="159" t="s">
        <v>3493</v>
      </c>
      <c r="B305" s="160"/>
      <c r="C305" s="160"/>
      <c r="D305" s="160"/>
      <c r="E305" s="160"/>
      <c r="F305" s="161"/>
    </row>
    <row r="306" spans="1:26" x14ac:dyDescent="0.3">
      <c r="A306" s="164" t="s">
        <v>58</v>
      </c>
      <c r="B306" s="164" t="s">
        <v>3032</v>
      </c>
      <c r="C306" s="165" t="s">
        <v>3494</v>
      </c>
      <c r="D306" s="165" t="s">
        <v>2727</v>
      </c>
      <c r="E306" s="164" t="s">
        <v>3456</v>
      </c>
      <c r="F306" s="164" t="s">
        <v>2793</v>
      </c>
    </row>
    <row r="307" spans="1:26" s="57" customFormat="1" x14ac:dyDescent="0.3">
      <c r="A307" s="164" t="s">
        <v>68</v>
      </c>
      <c r="B307" s="164" t="s">
        <v>3032</v>
      </c>
      <c r="C307" s="165" t="s">
        <v>3495</v>
      </c>
      <c r="D307" s="165" t="s">
        <v>3496</v>
      </c>
      <c r="E307" s="164" t="s">
        <v>3446</v>
      </c>
      <c r="F307" s="164" t="s">
        <v>2793</v>
      </c>
      <c r="G307" s="10"/>
      <c r="H307" s="10"/>
      <c r="I307" s="10"/>
      <c r="J307" s="10"/>
      <c r="K307" s="10"/>
      <c r="L307" s="10"/>
      <c r="M307" s="10"/>
      <c r="N307" s="10"/>
      <c r="O307" s="10"/>
      <c r="P307" s="10"/>
      <c r="Q307" s="10"/>
      <c r="R307" s="10"/>
      <c r="S307" s="10"/>
      <c r="T307" s="10"/>
      <c r="U307" s="10"/>
      <c r="V307" s="10"/>
      <c r="W307" s="10"/>
      <c r="X307" s="10"/>
      <c r="Y307" s="10"/>
      <c r="Z307" s="10"/>
    </row>
    <row r="308" spans="1:26" s="57" customFormat="1" x14ac:dyDescent="0.3">
      <c r="A308" s="164" t="s">
        <v>64</v>
      </c>
      <c r="B308" s="164" t="s">
        <v>3032</v>
      </c>
      <c r="C308" s="165">
        <v>0</v>
      </c>
      <c r="D308" s="165">
        <v>1</v>
      </c>
      <c r="E308" s="164" t="s">
        <v>3456</v>
      </c>
      <c r="F308" s="164" t="s">
        <v>2793</v>
      </c>
      <c r="G308" s="10"/>
      <c r="H308" s="10"/>
      <c r="I308" s="10"/>
      <c r="J308" s="10"/>
      <c r="K308" s="10"/>
      <c r="L308" s="10"/>
      <c r="M308" s="10"/>
      <c r="N308" s="10"/>
      <c r="O308" s="10"/>
      <c r="P308" s="10"/>
      <c r="Q308" s="10"/>
      <c r="R308" s="10"/>
      <c r="S308" s="10"/>
      <c r="T308" s="10"/>
      <c r="U308" s="10"/>
      <c r="V308" s="10"/>
      <c r="W308" s="10"/>
      <c r="X308" s="10"/>
      <c r="Y308" s="10"/>
      <c r="Z308" s="10"/>
    </row>
    <row r="309" spans="1:26" s="57" customFormat="1" x14ac:dyDescent="0.3">
      <c r="A309" s="164" t="s">
        <v>67</v>
      </c>
      <c r="B309" s="164" t="s">
        <v>3032</v>
      </c>
      <c r="C309" s="165">
        <v>1</v>
      </c>
      <c r="D309" s="165">
        <v>0</v>
      </c>
      <c r="E309" s="164" t="s">
        <v>3456</v>
      </c>
      <c r="F309" s="164" t="s">
        <v>2793</v>
      </c>
      <c r="G309" s="10"/>
      <c r="H309" s="10"/>
      <c r="I309" s="10"/>
      <c r="J309" s="10"/>
      <c r="K309" s="10"/>
      <c r="L309" s="10"/>
      <c r="M309" s="10"/>
      <c r="N309" s="10"/>
      <c r="O309" s="10"/>
      <c r="P309" s="10"/>
      <c r="Q309" s="10"/>
      <c r="R309" s="10"/>
      <c r="S309" s="10"/>
      <c r="T309" s="10"/>
      <c r="U309" s="10"/>
      <c r="V309" s="10"/>
      <c r="W309" s="10"/>
      <c r="X309" s="10"/>
      <c r="Y309" s="10"/>
      <c r="Z309" s="10"/>
    </row>
    <row r="310" spans="1:26" x14ac:dyDescent="0.3">
      <c r="A310" s="164" t="s">
        <v>1582</v>
      </c>
      <c r="B310" s="164" t="s">
        <v>2991</v>
      </c>
      <c r="C310" s="165" t="s">
        <v>3497</v>
      </c>
      <c r="D310" s="165" t="s">
        <v>3498</v>
      </c>
      <c r="E310" s="164" t="s">
        <v>3446</v>
      </c>
      <c r="F310" s="164" t="s">
        <v>2793</v>
      </c>
    </row>
    <row r="311" spans="1:26" s="57" customFormat="1" x14ac:dyDescent="0.3">
      <c r="A311" s="164" t="s">
        <v>1582</v>
      </c>
      <c r="B311" s="164" t="s">
        <v>3045</v>
      </c>
      <c r="C311" s="165" t="s">
        <v>3499</v>
      </c>
      <c r="D311" s="165" t="s">
        <v>3384</v>
      </c>
      <c r="E311" s="164" t="s">
        <v>3446</v>
      </c>
      <c r="F311" s="164" t="s">
        <v>2793</v>
      </c>
      <c r="G311" s="10"/>
      <c r="H311" s="10"/>
      <c r="I311" s="10"/>
      <c r="J311" s="10"/>
      <c r="K311" s="10"/>
      <c r="L311" s="10"/>
      <c r="M311" s="10"/>
      <c r="N311" s="10"/>
      <c r="O311" s="10"/>
      <c r="P311" s="10"/>
      <c r="Q311" s="10"/>
      <c r="R311" s="10"/>
      <c r="S311" s="10"/>
      <c r="T311" s="10"/>
      <c r="U311" s="10"/>
      <c r="V311" s="10"/>
      <c r="W311" s="10"/>
      <c r="X311" s="10"/>
      <c r="Y311" s="10"/>
      <c r="Z311" s="10"/>
    </row>
    <row r="312" spans="1:26" x14ac:dyDescent="0.3">
      <c r="A312" s="172" t="s">
        <v>678</v>
      </c>
      <c r="B312" s="172" t="s">
        <v>2991</v>
      </c>
      <c r="C312" s="173" t="s">
        <v>3463</v>
      </c>
      <c r="D312" s="162" t="s">
        <v>3403</v>
      </c>
      <c r="E312" s="164" t="s">
        <v>3429</v>
      </c>
      <c r="F312" s="43" t="s">
        <v>2793</v>
      </c>
    </row>
    <row r="313" spans="1:26" x14ac:dyDescent="0.3">
      <c r="A313" s="172" t="s">
        <v>678</v>
      </c>
      <c r="B313" s="172" t="s">
        <v>3045</v>
      </c>
      <c r="C313" s="173" t="s">
        <v>3500</v>
      </c>
      <c r="D313" s="162" t="s">
        <v>3403</v>
      </c>
      <c r="E313" s="164" t="s">
        <v>3429</v>
      </c>
      <c r="F313" s="43" t="s">
        <v>2793</v>
      </c>
    </row>
    <row r="314" spans="1:26" x14ac:dyDescent="0.3">
      <c r="A314" s="172" t="s">
        <v>678</v>
      </c>
      <c r="B314" s="172" t="s">
        <v>3074</v>
      </c>
      <c r="C314" s="173" t="s">
        <v>3501</v>
      </c>
      <c r="D314" s="162" t="s">
        <v>3403</v>
      </c>
      <c r="E314" s="164" t="s">
        <v>3429</v>
      </c>
      <c r="F314" s="43" t="s">
        <v>2793</v>
      </c>
    </row>
    <row r="315" spans="1:26" x14ac:dyDescent="0.3">
      <c r="A315" s="172" t="s">
        <v>659</v>
      </c>
      <c r="B315" s="172" t="s">
        <v>3074</v>
      </c>
      <c r="C315" s="174" t="s">
        <v>1154</v>
      </c>
      <c r="D315" s="173" t="s">
        <v>1177</v>
      </c>
      <c r="E315" s="164" t="s">
        <v>3406</v>
      </c>
      <c r="F315" s="43" t="s">
        <v>2793</v>
      </c>
    </row>
    <row r="316" spans="1:26" x14ac:dyDescent="0.3">
      <c r="A316" s="172" t="s">
        <v>668</v>
      </c>
      <c r="B316" s="172" t="s">
        <v>3074</v>
      </c>
      <c r="C316" s="162">
        <v>1</v>
      </c>
      <c r="D316" s="162">
        <v>0</v>
      </c>
      <c r="E316" s="43" t="s">
        <v>3406</v>
      </c>
      <c r="F316" s="43"/>
    </row>
    <row r="317" spans="1:26" s="56" customFormat="1" x14ac:dyDescent="0.35">
      <c r="A317" s="172" t="s">
        <v>1609</v>
      </c>
      <c r="B317" s="172" t="s">
        <v>3074</v>
      </c>
      <c r="C317" s="162">
        <v>0</v>
      </c>
      <c r="D317" s="162">
        <v>1</v>
      </c>
      <c r="E317" s="43" t="s">
        <v>3406</v>
      </c>
      <c r="F317" s="43"/>
      <c r="G317" s="36"/>
      <c r="H317" s="36"/>
      <c r="I317" s="36"/>
      <c r="J317" s="36"/>
      <c r="K317" s="36"/>
      <c r="L317" s="36"/>
      <c r="M317" s="36"/>
      <c r="N317" s="36"/>
      <c r="O317" s="36"/>
      <c r="P317" s="36"/>
      <c r="Q317" s="36"/>
      <c r="R317" s="36"/>
      <c r="S317" s="36"/>
      <c r="T317" s="36"/>
      <c r="U317" s="36"/>
      <c r="V317" s="36"/>
      <c r="W317" s="36"/>
      <c r="X317" s="36"/>
      <c r="Y317" s="36"/>
      <c r="Z317" s="36"/>
    </row>
    <row r="318" spans="1:26" s="168" customFormat="1" x14ac:dyDescent="0.35">
      <c r="A318" s="164" t="s">
        <v>710</v>
      </c>
      <c r="B318" s="164" t="s">
        <v>2991</v>
      </c>
      <c r="C318" s="165" t="s">
        <v>2995</v>
      </c>
      <c r="D318" s="165"/>
      <c r="E318" s="164" t="s">
        <v>3455</v>
      </c>
      <c r="F318" s="164" t="s">
        <v>1869</v>
      </c>
      <c r="G318" s="36"/>
      <c r="H318" s="36"/>
      <c r="I318" s="36"/>
      <c r="J318" s="36"/>
      <c r="K318" s="36"/>
      <c r="L318" s="36"/>
      <c r="M318" s="36"/>
      <c r="N318" s="36"/>
      <c r="O318" s="36"/>
      <c r="P318" s="36"/>
      <c r="Q318" s="36"/>
      <c r="R318" s="36"/>
      <c r="S318" s="36"/>
      <c r="T318" s="36"/>
      <c r="U318" s="36"/>
      <c r="V318" s="36"/>
      <c r="W318" s="36"/>
      <c r="X318" s="36"/>
      <c r="Y318" s="36"/>
      <c r="Z318" s="36"/>
    </row>
    <row r="319" spans="1:26" s="57" customFormat="1" x14ac:dyDescent="0.3">
      <c r="A319" s="164" t="s">
        <v>563</v>
      </c>
      <c r="B319" s="164" t="s">
        <v>3064</v>
      </c>
      <c r="C319" s="186"/>
      <c r="D319" s="165" t="s">
        <v>3502</v>
      </c>
      <c r="E319" s="164" t="s">
        <v>3469</v>
      </c>
      <c r="F319" s="164" t="s">
        <v>2793</v>
      </c>
      <c r="G319" s="10"/>
      <c r="H319" s="10"/>
      <c r="I319" s="10"/>
      <c r="J319" s="10"/>
      <c r="K319" s="10"/>
      <c r="L319" s="10"/>
      <c r="M319" s="10"/>
      <c r="N319" s="10"/>
      <c r="O319" s="10"/>
      <c r="P319" s="10"/>
      <c r="Q319" s="10"/>
      <c r="R319" s="10"/>
      <c r="S319" s="10"/>
      <c r="T319" s="10"/>
      <c r="U319" s="10"/>
      <c r="V319" s="10"/>
      <c r="W319" s="10"/>
      <c r="X319" s="10"/>
      <c r="Y319" s="10"/>
      <c r="Z319" s="10"/>
    </row>
    <row r="320" spans="1:26" s="57" customFormat="1" x14ac:dyDescent="0.3">
      <c r="A320" s="164" t="s">
        <v>1624</v>
      </c>
      <c r="B320" s="164" t="s">
        <v>2976</v>
      </c>
      <c r="C320" s="165" t="s">
        <v>2389</v>
      </c>
      <c r="D320" s="165" t="s">
        <v>3387</v>
      </c>
      <c r="E320" s="164" t="s">
        <v>3446</v>
      </c>
      <c r="F320" s="164" t="s">
        <v>2793</v>
      </c>
      <c r="G320" s="10"/>
      <c r="H320" s="10"/>
      <c r="I320" s="10"/>
      <c r="J320" s="10"/>
      <c r="K320" s="10"/>
      <c r="L320" s="10"/>
      <c r="M320" s="10"/>
      <c r="N320" s="10"/>
      <c r="O320" s="10"/>
      <c r="P320" s="10"/>
      <c r="Q320" s="10"/>
      <c r="R320" s="10"/>
      <c r="S320" s="10"/>
      <c r="T320" s="10"/>
      <c r="U320" s="10"/>
      <c r="V320" s="10"/>
      <c r="W320" s="10"/>
      <c r="X320" s="10"/>
      <c r="Y320" s="10"/>
      <c r="Z320" s="10"/>
    </row>
    <row r="321" spans="1:26" s="57" customFormat="1" ht="28" x14ac:dyDescent="0.3">
      <c r="A321" s="164" t="s">
        <v>463</v>
      </c>
      <c r="B321" s="164" t="s">
        <v>3013</v>
      </c>
      <c r="C321" s="162">
        <v>28</v>
      </c>
      <c r="D321" s="162"/>
      <c r="E321" s="170" t="s">
        <v>3459</v>
      </c>
      <c r="F321" s="164" t="s">
        <v>1869</v>
      </c>
      <c r="G321" s="10"/>
      <c r="H321" s="10"/>
      <c r="I321" s="10"/>
      <c r="J321" s="10"/>
      <c r="K321" s="10"/>
      <c r="L321" s="10"/>
      <c r="M321" s="10"/>
      <c r="N321" s="10"/>
      <c r="O321" s="10"/>
      <c r="P321" s="10"/>
      <c r="Q321" s="10"/>
      <c r="R321" s="10"/>
      <c r="S321" s="10"/>
      <c r="T321" s="10"/>
      <c r="U321" s="10"/>
      <c r="V321" s="10"/>
      <c r="W321" s="10"/>
      <c r="X321" s="10"/>
      <c r="Y321" s="10"/>
      <c r="Z321" s="10"/>
    </row>
    <row r="322" spans="1:26" s="57" customFormat="1" ht="28" x14ac:dyDescent="0.3">
      <c r="A322" s="164" t="s">
        <v>463</v>
      </c>
      <c r="B322" s="164" t="s">
        <v>3064</v>
      </c>
      <c r="C322" s="162">
        <v>12</v>
      </c>
      <c r="D322" s="162">
        <v>14</v>
      </c>
      <c r="E322" s="169" t="s">
        <v>3492</v>
      </c>
      <c r="F322" s="164" t="s">
        <v>2793</v>
      </c>
      <c r="G322" s="10"/>
      <c r="H322" s="10"/>
      <c r="I322" s="10"/>
      <c r="J322" s="10"/>
      <c r="K322" s="10"/>
      <c r="L322" s="10"/>
      <c r="M322" s="10"/>
      <c r="N322" s="10"/>
      <c r="O322" s="10"/>
      <c r="P322" s="10"/>
      <c r="Q322" s="10"/>
      <c r="R322" s="10"/>
      <c r="S322" s="10"/>
      <c r="T322" s="10"/>
      <c r="U322" s="10"/>
      <c r="V322" s="10"/>
      <c r="W322" s="10"/>
      <c r="X322" s="10"/>
      <c r="Y322" s="10"/>
      <c r="Z322" s="10"/>
    </row>
    <row r="323" spans="1:26" s="57" customFormat="1" x14ac:dyDescent="0.3">
      <c r="A323" s="164" t="s">
        <v>1015</v>
      </c>
      <c r="B323" s="164" t="s">
        <v>2976</v>
      </c>
      <c r="C323" s="162" t="s">
        <v>3503</v>
      </c>
      <c r="D323" s="162" t="s">
        <v>1880</v>
      </c>
      <c r="E323" s="169" t="s">
        <v>3504</v>
      </c>
      <c r="F323" s="164" t="s">
        <v>2793</v>
      </c>
      <c r="G323" s="10"/>
      <c r="H323" s="10"/>
      <c r="I323" s="10"/>
      <c r="J323" s="10"/>
      <c r="K323" s="10"/>
      <c r="L323" s="10"/>
      <c r="M323" s="10"/>
      <c r="N323" s="10"/>
      <c r="O323" s="10"/>
      <c r="P323" s="10"/>
      <c r="Q323" s="10"/>
      <c r="R323" s="10"/>
      <c r="S323" s="10"/>
      <c r="T323" s="10"/>
      <c r="U323" s="10"/>
      <c r="V323" s="10"/>
      <c r="W323" s="10"/>
      <c r="X323" s="10"/>
      <c r="Y323" s="10"/>
      <c r="Z323" s="10"/>
    </row>
    <row r="324" spans="1:26" x14ac:dyDescent="0.3">
      <c r="A324" s="159" t="s">
        <v>3505</v>
      </c>
      <c r="B324" s="160"/>
      <c r="C324" s="160"/>
      <c r="D324" s="160"/>
      <c r="E324" s="160"/>
      <c r="F324" s="161"/>
    </row>
    <row r="325" spans="1:26" x14ac:dyDescent="0.3">
      <c r="A325" s="43" t="s">
        <v>58</v>
      </c>
      <c r="B325" s="43" t="s">
        <v>3107</v>
      </c>
      <c r="C325" s="173" t="s">
        <v>1154</v>
      </c>
      <c r="D325" s="162" t="s">
        <v>1158</v>
      </c>
      <c r="E325" s="164" t="s">
        <v>3406</v>
      </c>
      <c r="F325" s="43" t="s">
        <v>2793</v>
      </c>
    </row>
    <row r="326" spans="1:26" x14ac:dyDescent="0.3">
      <c r="A326" s="43" t="s">
        <v>58</v>
      </c>
      <c r="B326" s="43" t="s">
        <v>3111</v>
      </c>
      <c r="C326" s="173" t="s">
        <v>1154</v>
      </c>
      <c r="D326" s="162" t="s">
        <v>1158</v>
      </c>
      <c r="E326" s="164" t="s">
        <v>3406</v>
      </c>
      <c r="F326" s="43" t="s">
        <v>2793</v>
      </c>
    </row>
    <row r="327" spans="1:26" x14ac:dyDescent="0.3">
      <c r="A327" s="43" t="s">
        <v>67</v>
      </c>
      <c r="B327" s="43" t="s">
        <v>3107</v>
      </c>
      <c r="C327" s="173">
        <v>1</v>
      </c>
      <c r="D327" s="162">
        <v>0</v>
      </c>
      <c r="E327" s="164" t="s">
        <v>3406</v>
      </c>
      <c r="F327" s="43" t="s">
        <v>2793</v>
      </c>
    </row>
    <row r="328" spans="1:26" x14ac:dyDescent="0.3">
      <c r="A328" s="43" t="s">
        <v>67</v>
      </c>
      <c r="B328" s="43" t="s">
        <v>3111</v>
      </c>
      <c r="C328" s="173">
        <v>1</v>
      </c>
      <c r="D328" s="162">
        <v>0</v>
      </c>
      <c r="E328" s="164" t="s">
        <v>3406</v>
      </c>
      <c r="F328" s="43" t="s">
        <v>2793</v>
      </c>
    </row>
    <row r="329" spans="1:26" x14ac:dyDescent="0.3">
      <c r="A329" s="43" t="s">
        <v>64</v>
      </c>
      <c r="B329" s="43" t="s">
        <v>3107</v>
      </c>
      <c r="C329" s="173">
        <v>0</v>
      </c>
      <c r="D329" s="162">
        <v>1</v>
      </c>
      <c r="E329" s="164" t="s">
        <v>3406</v>
      </c>
      <c r="F329" s="43" t="s">
        <v>2793</v>
      </c>
    </row>
    <row r="330" spans="1:26" x14ac:dyDescent="0.3">
      <c r="A330" s="43" t="s">
        <v>64</v>
      </c>
      <c r="B330" s="43" t="s">
        <v>3111</v>
      </c>
      <c r="C330" s="173">
        <v>0</v>
      </c>
      <c r="D330" s="162">
        <v>1</v>
      </c>
      <c r="E330" s="164" t="s">
        <v>3406</v>
      </c>
      <c r="F330" s="43" t="s">
        <v>2793</v>
      </c>
    </row>
    <row r="331" spans="1:26" x14ac:dyDescent="0.3">
      <c r="A331" s="43" t="s">
        <v>68</v>
      </c>
      <c r="B331" s="43" t="s">
        <v>3107</v>
      </c>
      <c r="C331" s="173" t="s">
        <v>2421</v>
      </c>
      <c r="D331" s="162" t="s">
        <v>3438</v>
      </c>
      <c r="E331" s="164" t="s">
        <v>3406</v>
      </c>
      <c r="F331" s="43" t="s">
        <v>2793</v>
      </c>
    </row>
    <row r="332" spans="1:26" x14ac:dyDescent="0.3">
      <c r="A332" s="43" t="s">
        <v>68</v>
      </c>
      <c r="B332" s="43" t="s">
        <v>3111</v>
      </c>
      <c r="C332" s="173" t="s">
        <v>2421</v>
      </c>
      <c r="D332" s="162" t="s">
        <v>3438</v>
      </c>
      <c r="E332" s="164" t="s">
        <v>3406</v>
      </c>
      <c r="F332" s="43" t="s">
        <v>2793</v>
      </c>
    </row>
    <row r="333" spans="1:26" x14ac:dyDescent="0.3">
      <c r="A333" s="43" t="s">
        <v>58</v>
      </c>
      <c r="B333" s="43" t="s">
        <v>3133</v>
      </c>
      <c r="C333" s="173" t="s">
        <v>1154</v>
      </c>
      <c r="D333" s="162" t="s">
        <v>1802</v>
      </c>
      <c r="E333" s="164" t="s">
        <v>3406</v>
      </c>
      <c r="F333" s="43" t="s">
        <v>2793</v>
      </c>
    </row>
    <row r="334" spans="1:26" x14ac:dyDescent="0.3">
      <c r="A334" s="43" t="s">
        <v>67</v>
      </c>
      <c r="B334" s="43" t="s">
        <v>3133</v>
      </c>
      <c r="C334" s="173">
        <v>1</v>
      </c>
      <c r="D334" s="162">
        <v>0</v>
      </c>
      <c r="E334" s="164" t="s">
        <v>3406</v>
      </c>
      <c r="F334" s="43" t="s">
        <v>2793</v>
      </c>
    </row>
    <row r="335" spans="1:26" x14ac:dyDescent="0.3">
      <c r="A335" s="43" t="s">
        <v>1545</v>
      </c>
      <c r="B335" s="43" t="s">
        <v>3133</v>
      </c>
      <c r="C335" s="173">
        <v>0</v>
      </c>
      <c r="D335" s="162">
        <v>1</v>
      </c>
      <c r="E335" s="164" t="s">
        <v>3406</v>
      </c>
      <c r="F335" s="43" t="s">
        <v>2793</v>
      </c>
    </row>
    <row r="336" spans="1:26" x14ac:dyDescent="0.3">
      <c r="A336" s="43" t="s">
        <v>68</v>
      </c>
      <c r="B336" s="43" t="s">
        <v>3133</v>
      </c>
      <c r="C336" s="162" t="s">
        <v>3506</v>
      </c>
      <c r="D336" s="162" t="s">
        <v>3403</v>
      </c>
      <c r="E336" s="164" t="s">
        <v>3406</v>
      </c>
      <c r="F336" s="43" t="s">
        <v>2793</v>
      </c>
    </row>
    <row r="337" spans="1:26" x14ac:dyDescent="0.3">
      <c r="A337" s="43" t="s">
        <v>58</v>
      </c>
      <c r="B337" s="43" t="s">
        <v>3179</v>
      </c>
      <c r="C337" s="162" t="s">
        <v>2396</v>
      </c>
      <c r="D337" s="162" t="s">
        <v>2827</v>
      </c>
      <c r="E337" s="164" t="s">
        <v>3406</v>
      </c>
      <c r="F337" s="43" t="s">
        <v>2793</v>
      </c>
    </row>
    <row r="338" spans="1:26" x14ac:dyDescent="0.3">
      <c r="A338" s="43" t="s">
        <v>67</v>
      </c>
      <c r="B338" s="43" t="s">
        <v>3179</v>
      </c>
      <c r="C338" s="173">
        <v>1</v>
      </c>
      <c r="D338" s="162">
        <v>0</v>
      </c>
      <c r="E338" s="164" t="s">
        <v>3406</v>
      </c>
      <c r="F338" s="43" t="s">
        <v>2793</v>
      </c>
    </row>
    <row r="339" spans="1:26" x14ac:dyDescent="0.3">
      <c r="A339" s="43" t="s">
        <v>68</v>
      </c>
      <c r="B339" s="43" t="s">
        <v>3179</v>
      </c>
      <c r="C339" s="173" t="s">
        <v>2421</v>
      </c>
      <c r="D339" s="162" t="s">
        <v>3403</v>
      </c>
      <c r="E339" s="164" t="s">
        <v>3406</v>
      </c>
      <c r="F339" s="43" t="s">
        <v>2793</v>
      </c>
    </row>
    <row r="340" spans="1:26" s="57" customFormat="1" x14ac:dyDescent="0.3">
      <c r="A340" s="168" t="s">
        <v>58</v>
      </c>
      <c r="B340" s="164" t="s">
        <v>3173</v>
      </c>
      <c r="C340" s="175" t="s">
        <v>3494</v>
      </c>
      <c r="D340" s="175" t="s">
        <v>2727</v>
      </c>
      <c r="E340" s="164" t="s">
        <v>3406</v>
      </c>
      <c r="F340" s="164" t="s">
        <v>2793</v>
      </c>
      <c r="G340" s="10"/>
      <c r="H340" s="10"/>
      <c r="I340" s="10"/>
      <c r="J340" s="10"/>
      <c r="K340" s="10"/>
      <c r="L340" s="10"/>
      <c r="M340" s="10"/>
      <c r="N340" s="10"/>
      <c r="O340" s="10"/>
      <c r="P340" s="10"/>
      <c r="Q340" s="10"/>
      <c r="R340" s="10"/>
      <c r="S340" s="10"/>
      <c r="T340" s="10"/>
      <c r="U340" s="10"/>
      <c r="V340" s="10"/>
      <c r="W340" s="10"/>
      <c r="X340" s="10"/>
      <c r="Y340" s="10"/>
      <c r="Z340" s="10"/>
    </row>
    <row r="341" spans="1:26" s="57" customFormat="1" x14ac:dyDescent="0.3">
      <c r="A341" s="168" t="s">
        <v>64</v>
      </c>
      <c r="B341" s="164" t="s">
        <v>3173</v>
      </c>
      <c r="C341" s="165">
        <v>0</v>
      </c>
      <c r="D341" s="165">
        <v>1</v>
      </c>
      <c r="E341" s="164" t="s">
        <v>3406</v>
      </c>
      <c r="F341" s="164" t="s">
        <v>2793</v>
      </c>
      <c r="G341" s="10"/>
      <c r="H341" s="10"/>
      <c r="I341" s="10"/>
      <c r="J341" s="10"/>
      <c r="K341" s="10"/>
      <c r="L341" s="10"/>
      <c r="M341" s="10"/>
      <c r="N341" s="10"/>
      <c r="O341" s="10"/>
      <c r="P341" s="10"/>
      <c r="Q341" s="10"/>
      <c r="R341" s="10"/>
      <c r="S341" s="10"/>
      <c r="T341" s="10"/>
      <c r="U341" s="10"/>
      <c r="V341" s="10"/>
      <c r="W341" s="10"/>
      <c r="X341" s="10"/>
      <c r="Y341" s="10"/>
      <c r="Z341" s="10"/>
    </row>
    <row r="342" spans="1:26" s="57" customFormat="1" x14ac:dyDescent="0.3">
      <c r="A342" s="168" t="s">
        <v>67</v>
      </c>
      <c r="B342" s="164" t="s">
        <v>3173</v>
      </c>
      <c r="C342" s="165">
        <v>1</v>
      </c>
      <c r="D342" s="165">
        <v>0</v>
      </c>
      <c r="E342" s="164" t="s">
        <v>3406</v>
      </c>
      <c r="F342" s="164" t="s">
        <v>2793</v>
      </c>
      <c r="G342" s="10"/>
      <c r="H342" s="10"/>
      <c r="I342" s="10"/>
      <c r="J342" s="10"/>
      <c r="K342" s="10"/>
      <c r="L342" s="10"/>
      <c r="M342" s="10"/>
      <c r="N342" s="10"/>
      <c r="O342" s="10"/>
      <c r="P342" s="10"/>
      <c r="Q342" s="10"/>
      <c r="R342" s="10"/>
      <c r="S342" s="10"/>
      <c r="T342" s="10"/>
      <c r="U342" s="10"/>
      <c r="V342" s="10"/>
      <c r="W342" s="10"/>
      <c r="X342" s="10"/>
      <c r="Y342" s="10"/>
      <c r="Z342" s="10"/>
    </row>
    <row r="343" spans="1:26" s="57" customFormat="1" x14ac:dyDescent="0.3">
      <c r="A343" s="168" t="s">
        <v>68</v>
      </c>
      <c r="B343" s="176" t="s">
        <v>3173</v>
      </c>
      <c r="C343" s="177" t="s">
        <v>3507</v>
      </c>
      <c r="D343" s="177" t="s">
        <v>3353</v>
      </c>
      <c r="E343" s="176" t="s">
        <v>3406</v>
      </c>
      <c r="F343" s="176" t="s">
        <v>2793</v>
      </c>
      <c r="G343" s="10"/>
      <c r="H343" s="10"/>
      <c r="I343" s="10"/>
      <c r="J343" s="10"/>
      <c r="K343" s="10"/>
      <c r="L343" s="10"/>
      <c r="M343" s="10"/>
      <c r="N343" s="10"/>
      <c r="O343" s="10"/>
      <c r="P343" s="10"/>
      <c r="Q343" s="10"/>
      <c r="R343" s="10"/>
      <c r="S343" s="10"/>
      <c r="T343" s="10"/>
      <c r="U343" s="10"/>
      <c r="V343" s="10"/>
      <c r="W343" s="10"/>
      <c r="X343" s="10"/>
      <c r="Y343" s="10"/>
      <c r="Z343" s="10"/>
    </row>
    <row r="344" spans="1:26" x14ac:dyDescent="0.3">
      <c r="A344" s="164" t="s">
        <v>109</v>
      </c>
      <c r="B344" s="164" t="s">
        <v>3111</v>
      </c>
      <c r="C344" s="165" t="s">
        <v>3114</v>
      </c>
      <c r="D344" s="165" t="s">
        <v>1397</v>
      </c>
      <c r="E344" s="164" t="s">
        <v>3408</v>
      </c>
      <c r="F344" s="164" t="s">
        <v>2793</v>
      </c>
    </row>
    <row r="345" spans="1:26" x14ac:dyDescent="0.3">
      <c r="A345" s="164" t="s">
        <v>115</v>
      </c>
      <c r="B345" s="164" t="s">
        <v>3111</v>
      </c>
      <c r="C345" s="165" t="s">
        <v>3508</v>
      </c>
      <c r="D345" s="165" t="s">
        <v>3403</v>
      </c>
      <c r="E345" s="164" t="s">
        <v>3408</v>
      </c>
      <c r="F345" s="164" t="s">
        <v>2793</v>
      </c>
    </row>
    <row r="346" spans="1:26" x14ac:dyDescent="0.3">
      <c r="A346" s="164" t="s">
        <v>113</v>
      </c>
      <c r="B346" s="164" t="s">
        <v>3111</v>
      </c>
      <c r="C346" s="165">
        <v>1</v>
      </c>
      <c r="D346" s="165">
        <v>0</v>
      </c>
      <c r="E346" s="164" t="s">
        <v>3408</v>
      </c>
      <c r="F346" s="164" t="s">
        <v>2793</v>
      </c>
    </row>
    <row r="347" spans="1:26" x14ac:dyDescent="0.3">
      <c r="A347" s="164" t="s">
        <v>130</v>
      </c>
      <c r="B347" s="164" t="s">
        <v>3107</v>
      </c>
      <c r="C347" s="165" t="s">
        <v>1154</v>
      </c>
      <c r="D347" s="165" t="s">
        <v>1162</v>
      </c>
      <c r="E347" s="164" t="s">
        <v>3406</v>
      </c>
      <c r="F347" s="164" t="s">
        <v>2793</v>
      </c>
    </row>
    <row r="348" spans="1:26" x14ac:dyDescent="0.3">
      <c r="A348" s="164" t="s">
        <v>142</v>
      </c>
      <c r="B348" s="164" t="s">
        <v>3107</v>
      </c>
      <c r="C348" s="165">
        <v>1</v>
      </c>
      <c r="D348" s="165">
        <v>0</v>
      </c>
      <c r="E348" s="164" t="s">
        <v>3406</v>
      </c>
      <c r="F348" s="164" t="s">
        <v>2793</v>
      </c>
    </row>
    <row r="349" spans="1:26" x14ac:dyDescent="0.3">
      <c r="A349" s="164" t="s">
        <v>141</v>
      </c>
      <c r="B349" s="164" t="s">
        <v>3107</v>
      </c>
      <c r="C349" s="165">
        <v>0</v>
      </c>
      <c r="D349" s="165">
        <v>1</v>
      </c>
      <c r="E349" s="164" t="s">
        <v>3406</v>
      </c>
      <c r="F349" s="164" t="s">
        <v>2793</v>
      </c>
    </row>
    <row r="350" spans="1:26" x14ac:dyDescent="0.3">
      <c r="A350" s="164" t="s">
        <v>143</v>
      </c>
      <c r="B350" s="164" t="s">
        <v>3107</v>
      </c>
      <c r="C350" s="165" t="s">
        <v>3509</v>
      </c>
      <c r="D350" s="165" t="s">
        <v>3438</v>
      </c>
      <c r="E350" s="164" t="s">
        <v>3406</v>
      </c>
      <c r="F350" s="164" t="s">
        <v>2793</v>
      </c>
    </row>
    <row r="351" spans="1:26" x14ac:dyDescent="0.3">
      <c r="A351" s="164" t="s">
        <v>145</v>
      </c>
      <c r="B351" s="164" t="s">
        <v>3107</v>
      </c>
      <c r="C351" s="165" t="s">
        <v>1154</v>
      </c>
      <c r="D351" s="165" t="s">
        <v>1880</v>
      </c>
      <c r="E351" s="164" t="s">
        <v>3406</v>
      </c>
      <c r="F351" s="164" t="s">
        <v>2793</v>
      </c>
    </row>
    <row r="352" spans="1:26" x14ac:dyDescent="0.3">
      <c r="A352" s="164" t="s">
        <v>152</v>
      </c>
      <c r="B352" s="164" t="s">
        <v>3107</v>
      </c>
      <c r="C352" s="165">
        <v>1</v>
      </c>
      <c r="D352" s="165">
        <v>0</v>
      </c>
      <c r="E352" s="164" t="s">
        <v>3406</v>
      </c>
      <c r="F352" s="164" t="s">
        <v>2793</v>
      </c>
    </row>
    <row r="353" spans="1:6" x14ac:dyDescent="0.3">
      <c r="A353" s="164" t="s">
        <v>151</v>
      </c>
      <c r="B353" s="164" t="s">
        <v>3107</v>
      </c>
      <c r="C353" s="165">
        <v>0</v>
      </c>
      <c r="D353" s="165">
        <v>1</v>
      </c>
      <c r="E353" s="164" t="s">
        <v>3406</v>
      </c>
      <c r="F353" s="164" t="s">
        <v>2793</v>
      </c>
    </row>
    <row r="354" spans="1:6" x14ac:dyDescent="0.3">
      <c r="A354" s="164" t="s">
        <v>153</v>
      </c>
      <c r="B354" s="164" t="s">
        <v>3107</v>
      </c>
      <c r="C354" s="165" t="s">
        <v>3509</v>
      </c>
      <c r="D354" s="165"/>
      <c r="E354" s="164" t="s">
        <v>3406</v>
      </c>
      <c r="F354" s="164" t="s">
        <v>2793</v>
      </c>
    </row>
    <row r="355" spans="1:6" x14ac:dyDescent="0.3">
      <c r="A355" s="43" t="s">
        <v>154</v>
      </c>
      <c r="B355" s="43" t="s">
        <v>3107</v>
      </c>
      <c r="C355" s="162" t="s">
        <v>1154</v>
      </c>
      <c r="D355" s="162" t="s">
        <v>1517</v>
      </c>
      <c r="E355" s="164" t="s">
        <v>3406</v>
      </c>
      <c r="F355" s="43" t="s">
        <v>2793</v>
      </c>
    </row>
    <row r="356" spans="1:6" x14ac:dyDescent="0.3">
      <c r="A356" s="43" t="s">
        <v>167</v>
      </c>
      <c r="B356" s="43" t="s">
        <v>3107</v>
      </c>
      <c r="C356" s="173">
        <v>1</v>
      </c>
      <c r="D356" s="162">
        <v>0</v>
      </c>
      <c r="E356" s="164" t="s">
        <v>3406</v>
      </c>
      <c r="F356" s="43" t="s">
        <v>2793</v>
      </c>
    </row>
    <row r="357" spans="1:6" x14ac:dyDescent="0.3">
      <c r="A357" s="43" t="s">
        <v>163</v>
      </c>
      <c r="B357" s="43" t="s">
        <v>3107</v>
      </c>
      <c r="C357" s="173">
        <v>0</v>
      </c>
      <c r="D357" s="162">
        <v>1</v>
      </c>
      <c r="E357" s="164" t="s">
        <v>3406</v>
      </c>
      <c r="F357" s="43" t="s">
        <v>2793</v>
      </c>
    </row>
    <row r="358" spans="1:6" x14ac:dyDescent="0.3">
      <c r="A358" s="43" t="s">
        <v>168</v>
      </c>
      <c r="B358" s="43" t="s">
        <v>3107</v>
      </c>
      <c r="C358" s="173" t="s">
        <v>3510</v>
      </c>
      <c r="D358" s="162" t="s">
        <v>3438</v>
      </c>
      <c r="E358" s="164" t="s">
        <v>3406</v>
      </c>
      <c r="F358" s="43" t="s">
        <v>2793</v>
      </c>
    </row>
    <row r="359" spans="1:6" x14ac:dyDescent="0.3">
      <c r="A359" s="43" t="s">
        <v>650</v>
      </c>
      <c r="B359" s="43" t="s">
        <v>3147</v>
      </c>
      <c r="C359" s="173" t="s">
        <v>1154</v>
      </c>
      <c r="D359" s="162" t="s">
        <v>1172</v>
      </c>
      <c r="E359" s="164" t="s">
        <v>3406</v>
      </c>
      <c r="F359" s="43" t="s">
        <v>2793</v>
      </c>
    </row>
    <row r="360" spans="1:6" x14ac:dyDescent="0.3">
      <c r="A360" s="43" t="s">
        <v>651</v>
      </c>
      <c r="B360" s="43" t="s">
        <v>3147</v>
      </c>
      <c r="C360" s="162" t="s">
        <v>3511</v>
      </c>
      <c r="D360" s="162" t="s">
        <v>3438</v>
      </c>
      <c r="E360" s="164" t="s">
        <v>3406</v>
      </c>
      <c r="F360" s="43" t="s">
        <v>2793</v>
      </c>
    </row>
    <row r="361" spans="1:6" x14ac:dyDescent="0.3">
      <c r="A361" s="43" t="s">
        <v>678</v>
      </c>
      <c r="B361" s="43" t="s">
        <v>3147</v>
      </c>
      <c r="C361" s="162" t="s">
        <v>3512</v>
      </c>
      <c r="D361" s="162" t="s">
        <v>3438</v>
      </c>
      <c r="E361" s="164" t="s">
        <v>3429</v>
      </c>
      <c r="F361" s="43" t="s">
        <v>2793</v>
      </c>
    </row>
    <row r="362" spans="1:6" x14ac:dyDescent="0.3">
      <c r="A362" s="43" t="s">
        <v>678</v>
      </c>
      <c r="B362" s="43" t="s">
        <v>3155</v>
      </c>
      <c r="C362" s="162" t="s">
        <v>3463</v>
      </c>
      <c r="D362" s="162" t="s">
        <v>3438</v>
      </c>
      <c r="E362" s="164" t="s">
        <v>3429</v>
      </c>
      <c r="F362" s="43" t="s">
        <v>2793</v>
      </c>
    </row>
    <row r="363" spans="1:6" x14ac:dyDescent="0.3">
      <c r="A363" s="43" t="s">
        <v>678</v>
      </c>
      <c r="B363" s="43" t="s">
        <v>3185</v>
      </c>
      <c r="C363" s="162" t="s">
        <v>3463</v>
      </c>
      <c r="D363" s="162" t="s">
        <v>3438</v>
      </c>
      <c r="E363" s="164" t="s">
        <v>3429</v>
      </c>
      <c r="F363" s="43" t="s">
        <v>2793</v>
      </c>
    </row>
    <row r="364" spans="1:6" x14ac:dyDescent="0.3">
      <c r="A364" s="43" t="s">
        <v>678</v>
      </c>
      <c r="B364" s="43" t="s">
        <v>3201</v>
      </c>
      <c r="C364" s="162" t="s">
        <v>3463</v>
      </c>
      <c r="D364" s="162" t="s">
        <v>3438</v>
      </c>
      <c r="E364" s="164" t="s">
        <v>3429</v>
      </c>
      <c r="F364" s="43" t="s">
        <v>2793</v>
      </c>
    </row>
    <row r="365" spans="1:6" x14ac:dyDescent="0.3">
      <c r="A365" s="43" t="s">
        <v>659</v>
      </c>
      <c r="B365" s="43" t="s">
        <v>3185</v>
      </c>
      <c r="C365" s="162" t="s">
        <v>3513</v>
      </c>
      <c r="D365" s="162" t="s">
        <v>1163</v>
      </c>
      <c r="E365" s="43" t="s">
        <v>3514</v>
      </c>
      <c r="F365" s="43" t="s">
        <v>2793</v>
      </c>
    </row>
    <row r="366" spans="1:6" x14ac:dyDescent="0.3">
      <c r="A366" s="43" t="s">
        <v>668</v>
      </c>
      <c r="B366" s="43" t="s">
        <v>3185</v>
      </c>
      <c r="C366" s="173">
        <v>1</v>
      </c>
      <c r="D366" s="162">
        <v>0</v>
      </c>
      <c r="E366" s="43" t="s">
        <v>3514</v>
      </c>
      <c r="F366" s="43" t="s">
        <v>2793</v>
      </c>
    </row>
    <row r="367" spans="1:6" x14ac:dyDescent="0.3">
      <c r="A367" s="43" t="s">
        <v>669</v>
      </c>
      <c r="B367" s="43" t="s">
        <v>3185</v>
      </c>
      <c r="C367" s="162" t="s">
        <v>3515</v>
      </c>
      <c r="D367" s="165" t="s">
        <v>3403</v>
      </c>
      <c r="E367" s="43" t="s">
        <v>3514</v>
      </c>
      <c r="F367" s="43" t="s">
        <v>2793</v>
      </c>
    </row>
    <row r="368" spans="1:6" x14ac:dyDescent="0.3">
      <c r="A368" s="43" t="s">
        <v>659</v>
      </c>
      <c r="B368" s="43" t="s">
        <v>3201</v>
      </c>
      <c r="C368" s="162" t="s">
        <v>3494</v>
      </c>
      <c r="D368" s="165" t="s">
        <v>1158</v>
      </c>
      <c r="E368" s="164" t="s">
        <v>3406</v>
      </c>
      <c r="F368" s="43" t="s">
        <v>2793</v>
      </c>
    </row>
    <row r="369" spans="1:26" x14ac:dyDescent="0.3">
      <c r="A369" s="43" t="s">
        <v>664</v>
      </c>
      <c r="B369" s="43" t="s">
        <v>3201</v>
      </c>
      <c r="C369" s="162">
        <v>1</v>
      </c>
      <c r="D369" s="165">
        <v>0</v>
      </c>
      <c r="E369" s="164" t="s">
        <v>3406</v>
      </c>
      <c r="F369" s="43" t="s">
        <v>2793</v>
      </c>
    </row>
    <row r="370" spans="1:26" x14ac:dyDescent="0.3">
      <c r="A370" s="43" t="s">
        <v>665</v>
      </c>
      <c r="B370" s="43" t="s">
        <v>3201</v>
      </c>
      <c r="C370" s="162">
        <v>0</v>
      </c>
      <c r="D370" s="165">
        <v>1</v>
      </c>
      <c r="E370" s="164" t="s">
        <v>3406</v>
      </c>
      <c r="F370" s="43" t="s">
        <v>2793</v>
      </c>
    </row>
    <row r="371" spans="1:26" x14ac:dyDescent="0.3">
      <c r="A371" s="43" t="s">
        <v>669</v>
      </c>
      <c r="B371" s="43" t="s">
        <v>3201</v>
      </c>
      <c r="C371" s="162" t="s">
        <v>3516</v>
      </c>
      <c r="D371" s="165" t="s">
        <v>3438</v>
      </c>
      <c r="E371" s="164" t="s">
        <v>3406</v>
      </c>
      <c r="F371" s="43" t="s">
        <v>2793</v>
      </c>
    </row>
    <row r="372" spans="1:26" x14ac:dyDescent="0.3">
      <c r="A372" s="43" t="s">
        <v>668</v>
      </c>
      <c r="B372" s="43" t="s">
        <v>3201</v>
      </c>
      <c r="C372" s="162">
        <v>1</v>
      </c>
      <c r="D372" s="165">
        <v>0</v>
      </c>
      <c r="E372" s="164" t="s">
        <v>3406</v>
      </c>
      <c r="F372" s="43" t="s">
        <v>2793</v>
      </c>
    </row>
    <row r="373" spans="1:26" x14ac:dyDescent="0.3">
      <c r="A373" s="43" t="s">
        <v>792</v>
      </c>
      <c r="B373" s="43" t="s">
        <v>3201</v>
      </c>
      <c r="C373" s="162" t="s">
        <v>3517</v>
      </c>
      <c r="D373" s="162" t="s">
        <v>1178</v>
      </c>
      <c r="E373" s="164" t="s">
        <v>3406</v>
      </c>
      <c r="F373" s="43" t="s">
        <v>2793</v>
      </c>
    </row>
    <row r="374" spans="1:26" x14ac:dyDescent="0.3">
      <c r="A374" s="43" t="s">
        <v>798</v>
      </c>
      <c r="B374" s="43" t="s">
        <v>3201</v>
      </c>
      <c r="C374" s="162">
        <v>1</v>
      </c>
      <c r="D374" s="165">
        <v>0</v>
      </c>
      <c r="E374" s="164" t="s">
        <v>3406</v>
      </c>
      <c r="F374" s="43" t="s">
        <v>2793</v>
      </c>
    </row>
    <row r="375" spans="1:26" x14ac:dyDescent="0.3">
      <c r="A375" s="43" t="s">
        <v>794</v>
      </c>
      <c r="B375" s="43" t="s">
        <v>3201</v>
      </c>
      <c r="C375" s="162">
        <v>0</v>
      </c>
      <c r="D375" s="165">
        <v>1</v>
      </c>
      <c r="E375" s="164" t="s">
        <v>3406</v>
      </c>
      <c r="F375" s="43" t="s">
        <v>2793</v>
      </c>
    </row>
    <row r="376" spans="1:26" x14ac:dyDescent="0.3">
      <c r="A376" s="43" t="s">
        <v>799</v>
      </c>
      <c r="B376" s="43" t="s">
        <v>3201</v>
      </c>
      <c r="C376" s="162" t="s">
        <v>3518</v>
      </c>
      <c r="D376" s="165" t="s">
        <v>3438</v>
      </c>
      <c r="E376" s="164" t="s">
        <v>3406</v>
      </c>
      <c r="F376" s="43" t="s">
        <v>2793</v>
      </c>
    </row>
    <row r="377" spans="1:26" x14ac:dyDescent="0.3">
      <c r="A377" s="43" t="s">
        <v>823</v>
      </c>
      <c r="B377" s="43" t="s">
        <v>3201</v>
      </c>
      <c r="C377" s="162" t="s">
        <v>1154</v>
      </c>
      <c r="D377" s="165" t="s">
        <v>1397</v>
      </c>
      <c r="E377" s="164" t="s">
        <v>3406</v>
      </c>
      <c r="F377" s="43" t="s">
        <v>2793</v>
      </c>
    </row>
    <row r="378" spans="1:26" x14ac:dyDescent="0.3">
      <c r="A378" s="43" t="s">
        <v>824</v>
      </c>
      <c r="B378" s="43" t="s">
        <v>3201</v>
      </c>
      <c r="C378" s="162">
        <v>0</v>
      </c>
      <c r="D378" s="165">
        <v>1</v>
      </c>
      <c r="E378" s="164" t="s">
        <v>3406</v>
      </c>
      <c r="F378" s="43" t="s">
        <v>2793</v>
      </c>
    </row>
    <row r="379" spans="1:26" x14ac:dyDescent="0.3">
      <c r="A379" s="43" t="s">
        <v>827</v>
      </c>
      <c r="B379" s="43" t="s">
        <v>3201</v>
      </c>
      <c r="C379" s="162">
        <v>1</v>
      </c>
      <c r="D379" s="165">
        <v>0</v>
      </c>
      <c r="E379" s="164" t="s">
        <v>3406</v>
      </c>
      <c r="F379" s="43" t="s">
        <v>2793</v>
      </c>
    </row>
    <row r="380" spans="1:26" x14ac:dyDescent="0.3">
      <c r="A380" s="43" t="s">
        <v>830</v>
      </c>
      <c r="B380" s="43" t="s">
        <v>3201</v>
      </c>
      <c r="C380" s="162" t="s">
        <v>3206</v>
      </c>
      <c r="D380" s="165" t="s">
        <v>2160</v>
      </c>
      <c r="E380" s="43" t="s">
        <v>3514</v>
      </c>
      <c r="F380" s="43" t="s">
        <v>2793</v>
      </c>
    </row>
    <row r="381" spans="1:26" x14ac:dyDescent="0.3">
      <c r="A381" s="43" t="s">
        <v>842</v>
      </c>
      <c r="B381" s="43" t="s">
        <v>3201</v>
      </c>
      <c r="C381" s="162" t="s">
        <v>3519</v>
      </c>
      <c r="D381" s="165" t="s">
        <v>3438</v>
      </c>
      <c r="E381" s="43" t="s">
        <v>3514</v>
      </c>
      <c r="F381" s="43" t="s">
        <v>2793</v>
      </c>
    </row>
    <row r="382" spans="1:26" x14ac:dyDescent="0.3">
      <c r="A382" s="43" t="s">
        <v>841</v>
      </c>
      <c r="B382" s="43" t="s">
        <v>3201</v>
      </c>
      <c r="C382" s="162">
        <v>1</v>
      </c>
      <c r="D382" s="165">
        <v>0</v>
      </c>
      <c r="E382" s="43" t="s">
        <v>3514</v>
      </c>
      <c r="F382" s="43" t="s">
        <v>2793</v>
      </c>
    </row>
    <row r="383" spans="1:26" x14ac:dyDescent="0.3">
      <c r="A383" s="43" t="s">
        <v>518</v>
      </c>
      <c r="B383" s="43" t="s">
        <v>3117</v>
      </c>
      <c r="C383" s="162" t="s">
        <v>3520</v>
      </c>
      <c r="D383" s="165" t="s">
        <v>1340</v>
      </c>
      <c r="E383" s="43" t="s">
        <v>3514</v>
      </c>
      <c r="F383" s="43" t="s">
        <v>2793</v>
      </c>
    </row>
    <row r="384" spans="1:26" s="57" customFormat="1" x14ac:dyDescent="0.3">
      <c r="A384" s="164" t="s">
        <v>540</v>
      </c>
      <c r="B384" s="164" t="s">
        <v>3095</v>
      </c>
      <c r="C384" s="165" t="s">
        <v>1154</v>
      </c>
      <c r="D384" s="165" t="s">
        <v>1194</v>
      </c>
      <c r="E384" s="164" t="s">
        <v>3456</v>
      </c>
      <c r="F384" s="164" t="s">
        <v>2793</v>
      </c>
      <c r="G384" s="10"/>
      <c r="H384" s="10"/>
      <c r="I384" s="10"/>
      <c r="J384" s="10"/>
      <c r="K384" s="10"/>
      <c r="L384" s="10"/>
      <c r="M384" s="10"/>
      <c r="N384" s="10"/>
      <c r="O384" s="10"/>
      <c r="P384" s="10"/>
      <c r="Q384" s="10"/>
      <c r="R384" s="10"/>
      <c r="S384" s="10"/>
      <c r="T384" s="10"/>
      <c r="U384" s="10"/>
      <c r="V384" s="10"/>
      <c r="W384" s="10"/>
      <c r="X384" s="10"/>
      <c r="Y384" s="10"/>
      <c r="Z384" s="10"/>
    </row>
    <row r="385" spans="1:26" s="57" customFormat="1" x14ac:dyDescent="0.3">
      <c r="A385" s="164" t="s">
        <v>545</v>
      </c>
      <c r="B385" s="164" t="s">
        <v>3095</v>
      </c>
      <c r="C385" s="165">
        <v>0</v>
      </c>
      <c r="D385" s="165">
        <v>1</v>
      </c>
      <c r="E385" s="164" t="s">
        <v>3456</v>
      </c>
      <c r="F385" s="164" t="s">
        <v>2793</v>
      </c>
      <c r="G385" s="10"/>
      <c r="H385" s="10"/>
      <c r="I385" s="10"/>
      <c r="J385" s="10"/>
      <c r="K385" s="10"/>
      <c r="L385" s="10"/>
      <c r="M385" s="10"/>
      <c r="N385" s="10"/>
      <c r="O385" s="10"/>
      <c r="P385" s="10"/>
      <c r="Q385" s="10"/>
      <c r="R385" s="10"/>
      <c r="S385" s="10"/>
      <c r="T385" s="10"/>
      <c r="U385" s="10"/>
      <c r="V385" s="10"/>
      <c r="W385" s="10"/>
      <c r="X385" s="10"/>
      <c r="Y385" s="10"/>
      <c r="Z385" s="10"/>
    </row>
    <row r="386" spans="1:26" s="57" customFormat="1" x14ac:dyDescent="0.3">
      <c r="A386" s="168" t="s">
        <v>552</v>
      </c>
      <c r="B386" s="164" t="s">
        <v>3095</v>
      </c>
      <c r="C386" s="165">
        <v>1</v>
      </c>
      <c r="D386" s="165">
        <v>0</v>
      </c>
      <c r="E386" s="164" t="s">
        <v>3456</v>
      </c>
      <c r="F386" s="164" t="s">
        <v>2793</v>
      </c>
      <c r="G386" s="10"/>
      <c r="H386" s="10"/>
      <c r="I386" s="10"/>
      <c r="J386" s="10"/>
      <c r="K386" s="10"/>
      <c r="L386" s="10"/>
      <c r="M386" s="10"/>
      <c r="N386" s="10"/>
      <c r="O386" s="10"/>
      <c r="P386" s="10"/>
      <c r="Q386" s="10"/>
      <c r="R386" s="10"/>
      <c r="S386" s="10"/>
      <c r="T386" s="10"/>
      <c r="U386" s="10"/>
      <c r="V386" s="10"/>
      <c r="W386" s="10"/>
      <c r="X386" s="10"/>
      <c r="Y386" s="10"/>
      <c r="Z386" s="10"/>
    </row>
    <row r="387" spans="1:26" x14ac:dyDescent="0.3">
      <c r="A387" s="43" t="s">
        <v>540</v>
      </c>
      <c r="B387" s="43" t="s">
        <v>3117</v>
      </c>
      <c r="C387" s="162" t="s">
        <v>3521</v>
      </c>
      <c r="D387" s="165" t="s">
        <v>3235</v>
      </c>
      <c r="E387" s="43" t="s">
        <v>3406</v>
      </c>
      <c r="F387" s="43" t="s">
        <v>2793</v>
      </c>
    </row>
    <row r="388" spans="1:26" x14ac:dyDescent="0.3">
      <c r="A388" s="43" t="s">
        <v>542</v>
      </c>
      <c r="B388" s="43" t="s">
        <v>3117</v>
      </c>
      <c r="C388" s="162">
        <v>0</v>
      </c>
      <c r="D388" s="165">
        <v>1</v>
      </c>
      <c r="E388" s="43" t="s">
        <v>3406</v>
      </c>
      <c r="F388" s="43" t="s">
        <v>2793</v>
      </c>
    </row>
    <row r="389" spans="1:26" x14ac:dyDescent="0.3">
      <c r="A389" s="43" t="s">
        <v>552</v>
      </c>
      <c r="B389" s="43" t="s">
        <v>3117</v>
      </c>
      <c r="C389" s="162">
        <v>1</v>
      </c>
      <c r="D389" s="165">
        <v>0</v>
      </c>
      <c r="E389" s="43" t="s">
        <v>3406</v>
      </c>
      <c r="F389" s="43" t="s">
        <v>2793</v>
      </c>
    </row>
    <row r="390" spans="1:26" x14ac:dyDescent="0.3">
      <c r="A390" s="43" t="s">
        <v>553</v>
      </c>
      <c r="B390" s="43" t="s">
        <v>3117</v>
      </c>
      <c r="C390" s="162" t="s">
        <v>3522</v>
      </c>
      <c r="D390" s="165" t="s">
        <v>3438</v>
      </c>
      <c r="E390" s="43" t="s">
        <v>3406</v>
      </c>
      <c r="F390" s="43" t="s">
        <v>2793</v>
      </c>
    </row>
    <row r="391" spans="1:26" x14ac:dyDescent="0.3">
      <c r="A391" s="43" t="s">
        <v>555</v>
      </c>
      <c r="B391" s="43" t="s">
        <v>3095</v>
      </c>
      <c r="C391" s="162" t="s">
        <v>1154</v>
      </c>
      <c r="D391" s="165" t="s">
        <v>2396</v>
      </c>
      <c r="E391" s="43" t="s">
        <v>3456</v>
      </c>
      <c r="F391" s="43" t="s">
        <v>2793</v>
      </c>
    </row>
    <row r="392" spans="1:26" x14ac:dyDescent="0.3">
      <c r="A392" s="43" t="s">
        <v>560</v>
      </c>
      <c r="B392" s="43" t="s">
        <v>3095</v>
      </c>
      <c r="C392" s="162">
        <v>0</v>
      </c>
      <c r="D392" s="165">
        <v>1</v>
      </c>
      <c r="E392" s="43" t="s">
        <v>3456</v>
      </c>
      <c r="F392" s="43" t="s">
        <v>2793</v>
      </c>
    </row>
    <row r="393" spans="1:26" x14ac:dyDescent="0.3">
      <c r="A393" s="43" t="s">
        <v>563</v>
      </c>
      <c r="B393" s="43" t="s">
        <v>3095</v>
      </c>
      <c r="C393" s="162" t="s">
        <v>3358</v>
      </c>
      <c r="D393" s="165" t="s">
        <v>3507</v>
      </c>
      <c r="E393" s="43" t="s">
        <v>3456</v>
      </c>
      <c r="F393" s="43" t="s">
        <v>2793</v>
      </c>
    </row>
    <row r="394" spans="1:26" x14ac:dyDescent="0.3">
      <c r="A394" s="43" t="s">
        <v>1010</v>
      </c>
      <c r="B394" s="43" t="s">
        <v>3209</v>
      </c>
      <c r="C394" s="162" t="s">
        <v>1154</v>
      </c>
      <c r="D394" s="165" t="s">
        <v>2128</v>
      </c>
      <c r="E394" s="43" t="s">
        <v>3456</v>
      </c>
      <c r="F394" s="43" t="s">
        <v>2793</v>
      </c>
    </row>
    <row r="395" spans="1:26" x14ac:dyDescent="0.3">
      <c r="A395" s="43" t="s">
        <v>1014</v>
      </c>
      <c r="B395" s="43" t="s">
        <v>3137</v>
      </c>
      <c r="C395" s="162" t="s">
        <v>3523</v>
      </c>
      <c r="D395" s="165" t="s">
        <v>3524</v>
      </c>
      <c r="E395" s="43" t="s">
        <v>3525</v>
      </c>
      <c r="F395" s="43" t="s">
        <v>2793</v>
      </c>
    </row>
    <row r="396" spans="1:26" x14ac:dyDescent="0.3">
      <c r="A396" s="43" t="s">
        <v>1617</v>
      </c>
      <c r="B396" s="43" t="s">
        <v>3087</v>
      </c>
      <c r="C396" s="162" t="s">
        <v>1154</v>
      </c>
      <c r="D396" s="165" t="s">
        <v>2388</v>
      </c>
      <c r="E396" s="43" t="s">
        <v>3456</v>
      </c>
      <c r="F396" s="43" t="s">
        <v>2793</v>
      </c>
    </row>
    <row r="397" spans="1:26" x14ac:dyDescent="0.3">
      <c r="A397" s="43" t="s">
        <v>1619</v>
      </c>
      <c r="B397" s="43" t="s">
        <v>3087</v>
      </c>
      <c r="C397" s="162">
        <v>0</v>
      </c>
      <c r="D397" s="165">
        <v>1</v>
      </c>
      <c r="E397" s="43" t="s">
        <v>3456</v>
      </c>
      <c r="F397" s="43" t="s">
        <v>2793</v>
      </c>
    </row>
    <row r="398" spans="1:26" x14ac:dyDescent="0.3">
      <c r="A398" s="43" t="s">
        <v>1623</v>
      </c>
      <c r="B398" s="43" t="s">
        <v>3087</v>
      </c>
      <c r="C398" s="162">
        <v>1</v>
      </c>
      <c r="D398" s="165">
        <v>0</v>
      </c>
      <c r="E398" s="43" t="s">
        <v>3456</v>
      </c>
      <c r="F398" s="43" t="s">
        <v>2793</v>
      </c>
    </row>
    <row r="399" spans="1:26" x14ac:dyDescent="0.3">
      <c r="A399" s="43" t="s">
        <v>1644</v>
      </c>
      <c r="B399" s="43" t="s">
        <v>3087</v>
      </c>
      <c r="C399" s="162" t="s">
        <v>3526</v>
      </c>
      <c r="D399" s="165" t="s">
        <v>3438</v>
      </c>
      <c r="E399" s="43" t="s">
        <v>3456</v>
      </c>
      <c r="F399" s="43" t="s">
        <v>2793</v>
      </c>
    </row>
    <row r="400" spans="1:26" x14ac:dyDescent="0.3">
      <c r="A400" s="43" t="s">
        <v>1645</v>
      </c>
      <c r="B400" s="43" t="s">
        <v>3087</v>
      </c>
      <c r="C400" s="162" t="s">
        <v>1154</v>
      </c>
      <c r="D400" s="165" t="s">
        <v>3438</v>
      </c>
      <c r="E400" s="43" t="s">
        <v>3456</v>
      </c>
      <c r="F400" s="43" t="s">
        <v>2793</v>
      </c>
    </row>
    <row r="401" spans="1:26" x14ac:dyDescent="0.3">
      <c r="A401" s="43" t="s">
        <v>1646</v>
      </c>
      <c r="B401" s="43" t="s">
        <v>3087</v>
      </c>
      <c r="C401" s="162" t="s">
        <v>3527</v>
      </c>
      <c r="D401" s="165" t="s">
        <v>3438</v>
      </c>
      <c r="E401" s="43" t="s">
        <v>3456</v>
      </c>
      <c r="F401" s="43" t="s">
        <v>2793</v>
      </c>
    </row>
    <row r="402" spans="1:26" x14ac:dyDescent="0.3">
      <c r="A402" s="43" t="s">
        <v>1629</v>
      </c>
      <c r="B402" s="43" t="s">
        <v>3087</v>
      </c>
      <c r="C402" s="162" t="s">
        <v>3528</v>
      </c>
      <c r="D402" s="165" t="s">
        <v>1154</v>
      </c>
      <c r="E402" s="43" t="s">
        <v>3456</v>
      </c>
      <c r="F402" s="43" t="s">
        <v>2793</v>
      </c>
    </row>
    <row r="403" spans="1:26" x14ac:dyDescent="0.3">
      <c r="A403" s="43" t="s">
        <v>1630</v>
      </c>
      <c r="B403" s="43" t="s">
        <v>3087</v>
      </c>
      <c r="C403" s="162" t="s">
        <v>3529</v>
      </c>
      <c r="D403" s="165" t="s">
        <v>3240</v>
      </c>
      <c r="E403" s="43" t="s">
        <v>3456</v>
      </c>
      <c r="F403" s="43" t="s">
        <v>2793</v>
      </c>
    </row>
    <row r="404" spans="1:26" x14ac:dyDescent="0.3">
      <c r="A404" s="167" t="s">
        <v>1647</v>
      </c>
      <c r="B404" s="43" t="s">
        <v>3087</v>
      </c>
      <c r="C404" s="178">
        <v>35000</v>
      </c>
      <c r="D404" s="165" t="s">
        <v>3438</v>
      </c>
      <c r="E404" s="43" t="s">
        <v>3456</v>
      </c>
      <c r="F404" s="43" t="s">
        <v>2793</v>
      </c>
    </row>
    <row r="405" spans="1:26" x14ac:dyDescent="0.3">
      <c r="A405" s="43" t="s">
        <v>1631</v>
      </c>
      <c r="B405" s="43" t="s">
        <v>3087</v>
      </c>
      <c r="C405" s="162" t="s">
        <v>3528</v>
      </c>
      <c r="D405" s="178">
        <v>35000</v>
      </c>
      <c r="E405" s="43" t="s">
        <v>3456</v>
      </c>
      <c r="F405" s="43" t="s">
        <v>2793</v>
      </c>
    </row>
    <row r="406" spans="1:26" x14ac:dyDescent="0.3">
      <c r="A406" s="43" t="s">
        <v>1648</v>
      </c>
      <c r="B406" s="43" t="s">
        <v>3087</v>
      </c>
      <c r="C406" s="162" t="s">
        <v>3530</v>
      </c>
      <c r="D406" s="165"/>
      <c r="E406" s="43" t="s">
        <v>3456</v>
      </c>
      <c r="F406" s="43" t="s">
        <v>2793</v>
      </c>
    </row>
    <row r="407" spans="1:26" x14ac:dyDescent="0.3">
      <c r="A407" s="43" t="s">
        <v>1632</v>
      </c>
      <c r="B407" s="43" t="s">
        <v>3087</v>
      </c>
      <c r="C407" s="162" t="s">
        <v>3529</v>
      </c>
      <c r="D407" s="162" t="s">
        <v>3530</v>
      </c>
      <c r="E407" s="43" t="s">
        <v>3456</v>
      </c>
      <c r="F407" s="43" t="s">
        <v>2793</v>
      </c>
    </row>
    <row r="408" spans="1:26" s="57" customFormat="1" x14ac:dyDescent="0.3">
      <c r="A408" s="164" t="s">
        <v>1626</v>
      </c>
      <c r="B408" s="168" t="s">
        <v>3209</v>
      </c>
      <c r="C408" s="165">
        <v>500</v>
      </c>
      <c r="D408" s="165" t="s">
        <v>3403</v>
      </c>
      <c r="E408" s="164" t="s">
        <v>3531</v>
      </c>
      <c r="F408" s="164" t="s">
        <v>2793</v>
      </c>
      <c r="G408" s="10"/>
      <c r="H408" s="10"/>
      <c r="I408" s="10"/>
      <c r="J408" s="10"/>
      <c r="K408" s="10"/>
      <c r="L408" s="10"/>
      <c r="M408" s="10"/>
      <c r="N408" s="10"/>
      <c r="O408" s="10"/>
      <c r="P408" s="10"/>
      <c r="Q408" s="10"/>
      <c r="R408" s="10"/>
      <c r="S408" s="10"/>
      <c r="T408" s="10"/>
      <c r="U408" s="10"/>
      <c r="V408" s="10"/>
      <c r="W408" s="10"/>
      <c r="X408" s="10"/>
      <c r="Y408" s="10"/>
      <c r="Z408" s="10"/>
    </row>
    <row r="409" spans="1:26" x14ac:dyDescent="0.3">
      <c r="A409" s="43" t="s">
        <v>1065</v>
      </c>
      <c r="B409" s="43" t="s">
        <v>3087</v>
      </c>
      <c r="C409" s="162" t="s">
        <v>1154</v>
      </c>
      <c r="D409" s="165" t="s">
        <v>1880</v>
      </c>
      <c r="E409" s="43" t="s">
        <v>3439</v>
      </c>
      <c r="F409" s="43" t="s">
        <v>2793</v>
      </c>
    </row>
    <row r="410" spans="1:26" x14ac:dyDescent="0.3">
      <c r="A410" s="43" t="s">
        <v>1069</v>
      </c>
      <c r="B410" s="43" t="s">
        <v>3087</v>
      </c>
      <c r="C410" s="162">
        <v>1</v>
      </c>
      <c r="D410" s="165">
        <v>0</v>
      </c>
      <c r="E410" s="43" t="s">
        <v>3439</v>
      </c>
      <c r="F410" s="43" t="s">
        <v>2793</v>
      </c>
    </row>
    <row r="411" spans="1:26" s="56" customFormat="1" x14ac:dyDescent="0.35">
      <c r="A411" s="43" t="s">
        <v>1068</v>
      </c>
      <c r="B411" s="43" t="s">
        <v>3087</v>
      </c>
      <c r="C411" s="162">
        <v>0</v>
      </c>
      <c r="D411" s="165">
        <v>1</v>
      </c>
      <c r="E411" s="43" t="s">
        <v>3439</v>
      </c>
      <c r="F411" s="43" t="s">
        <v>2793</v>
      </c>
      <c r="G411" s="36"/>
      <c r="H411" s="36"/>
      <c r="I411" s="36"/>
      <c r="J411" s="36"/>
      <c r="K411" s="36"/>
      <c r="L411" s="36"/>
      <c r="M411" s="36"/>
      <c r="N411" s="36"/>
      <c r="O411" s="36"/>
      <c r="P411" s="36"/>
      <c r="Q411" s="36"/>
      <c r="R411" s="36"/>
      <c r="S411" s="36"/>
      <c r="T411" s="36"/>
      <c r="U411" s="36"/>
      <c r="V411" s="36"/>
      <c r="W411" s="36"/>
      <c r="X411" s="36"/>
      <c r="Y411" s="36"/>
      <c r="Z411" s="36"/>
    </row>
    <row r="412" spans="1:26" s="56" customFormat="1" x14ac:dyDescent="0.35">
      <c r="A412" s="43" t="s">
        <v>1071</v>
      </c>
      <c r="B412" s="43" t="s">
        <v>3087</v>
      </c>
      <c r="C412" s="162" t="s">
        <v>3532</v>
      </c>
      <c r="D412" s="165" t="s">
        <v>3438</v>
      </c>
      <c r="E412" s="43" t="s">
        <v>3439</v>
      </c>
      <c r="F412" s="43" t="s">
        <v>2793</v>
      </c>
      <c r="G412" s="36"/>
      <c r="H412" s="36"/>
      <c r="I412" s="36"/>
      <c r="J412" s="36"/>
      <c r="K412" s="36"/>
      <c r="L412" s="36"/>
      <c r="M412" s="36"/>
      <c r="N412" s="36"/>
      <c r="O412" s="36"/>
      <c r="P412" s="36"/>
      <c r="Q412" s="36"/>
      <c r="R412" s="36"/>
      <c r="S412" s="36"/>
      <c r="T412" s="36"/>
      <c r="U412" s="36"/>
      <c r="V412" s="36"/>
      <c r="W412" s="36"/>
      <c r="X412" s="36"/>
      <c r="Y412" s="36"/>
      <c r="Z412" s="36"/>
    </row>
    <row r="413" spans="1:26" x14ac:dyDescent="0.3">
      <c r="A413" s="43" t="s">
        <v>1145</v>
      </c>
      <c r="B413" s="43" t="s">
        <v>3209</v>
      </c>
      <c r="C413" s="162" t="s">
        <v>3533</v>
      </c>
      <c r="D413" s="165" t="s">
        <v>3403</v>
      </c>
      <c r="E413" s="43" t="s">
        <v>3514</v>
      </c>
      <c r="F413" s="43" t="s">
        <v>2793</v>
      </c>
    </row>
    <row r="414" spans="1:26" x14ac:dyDescent="0.3">
      <c r="A414" s="43" t="s">
        <v>1144</v>
      </c>
      <c r="B414" s="43" t="s">
        <v>3209</v>
      </c>
      <c r="C414" s="162">
        <v>1</v>
      </c>
      <c r="D414" s="165">
        <v>0</v>
      </c>
      <c r="E414" s="43" t="s">
        <v>3514</v>
      </c>
      <c r="F414" s="43" t="s">
        <v>2793</v>
      </c>
    </row>
    <row r="415" spans="1:26" s="57" customFormat="1" ht="28" x14ac:dyDescent="0.3">
      <c r="A415" s="164" t="s">
        <v>463</v>
      </c>
      <c r="B415" s="164" t="s">
        <v>3095</v>
      </c>
      <c r="C415" s="165">
        <v>11</v>
      </c>
      <c r="D415" s="165">
        <v>12</v>
      </c>
      <c r="E415" s="169" t="s">
        <v>3492</v>
      </c>
      <c r="F415" s="164" t="s">
        <v>2793</v>
      </c>
      <c r="G415" s="10"/>
      <c r="H415" s="10"/>
      <c r="I415" s="10"/>
      <c r="J415" s="10"/>
      <c r="K415" s="10"/>
      <c r="L415" s="10"/>
      <c r="M415" s="10"/>
      <c r="N415" s="10"/>
      <c r="O415" s="10"/>
      <c r="P415" s="10"/>
      <c r="Q415" s="10"/>
      <c r="R415" s="10"/>
      <c r="S415" s="10"/>
      <c r="T415" s="10"/>
      <c r="U415" s="10"/>
      <c r="V415" s="10"/>
      <c r="W415" s="10"/>
      <c r="X415" s="10"/>
      <c r="Y415" s="10"/>
      <c r="Z415" s="10"/>
    </row>
    <row r="416" spans="1:26" s="57" customFormat="1" ht="28" x14ac:dyDescent="0.3">
      <c r="A416" s="164" t="s">
        <v>463</v>
      </c>
      <c r="B416" s="164" t="s">
        <v>3117</v>
      </c>
      <c r="C416" s="165">
        <v>18</v>
      </c>
      <c r="D416" s="169"/>
      <c r="E416" s="170" t="s">
        <v>3459</v>
      </c>
      <c r="F416" s="164" t="s">
        <v>1869</v>
      </c>
      <c r="G416" s="10"/>
      <c r="H416" s="10"/>
      <c r="I416" s="10"/>
      <c r="J416" s="10"/>
      <c r="K416" s="10"/>
      <c r="L416" s="10"/>
      <c r="M416" s="10"/>
      <c r="N416" s="10"/>
      <c r="O416" s="10"/>
      <c r="P416" s="10"/>
      <c r="Q416" s="10"/>
      <c r="R416" s="10"/>
      <c r="S416" s="10"/>
      <c r="T416" s="10"/>
      <c r="U416" s="10"/>
      <c r="V416" s="10"/>
      <c r="W416" s="10"/>
      <c r="X416" s="10"/>
      <c r="Y416" s="10"/>
      <c r="Z416" s="10"/>
    </row>
    <row r="417" spans="1:26" s="57" customFormat="1" x14ac:dyDescent="0.3">
      <c r="A417" s="164" t="s">
        <v>461</v>
      </c>
      <c r="B417" s="164" t="s">
        <v>3095</v>
      </c>
      <c r="C417" s="165" t="s">
        <v>3233</v>
      </c>
      <c r="D417" s="165"/>
      <c r="E417" s="164" t="s">
        <v>3455</v>
      </c>
      <c r="F417" s="164" t="s">
        <v>1869</v>
      </c>
      <c r="G417" s="187"/>
      <c r="H417" s="10"/>
      <c r="I417" s="10"/>
      <c r="J417" s="10"/>
      <c r="K417" s="10"/>
      <c r="L417" s="10"/>
      <c r="M417" s="10"/>
      <c r="N417" s="10"/>
      <c r="O417" s="10"/>
      <c r="P417" s="10"/>
      <c r="Q417" s="10"/>
      <c r="R417" s="10"/>
      <c r="S417" s="10"/>
      <c r="T417" s="10"/>
      <c r="U417" s="10"/>
      <c r="V417" s="10"/>
      <c r="W417" s="10"/>
      <c r="X417" s="10"/>
      <c r="Y417" s="10"/>
      <c r="Z417" s="10"/>
    </row>
    <row r="418" spans="1:26" x14ac:dyDescent="0.3">
      <c r="A418" s="43" t="s">
        <v>429</v>
      </c>
      <c r="B418" s="43" t="s">
        <v>3095</v>
      </c>
      <c r="C418" s="162" t="s">
        <v>3534</v>
      </c>
      <c r="D418" s="165" t="s">
        <v>3356</v>
      </c>
      <c r="E418" s="43" t="s">
        <v>3446</v>
      </c>
      <c r="F418" s="43" t="s">
        <v>2793</v>
      </c>
    </row>
    <row r="419" spans="1:26" x14ac:dyDescent="0.3">
      <c r="A419" s="43" t="s">
        <v>429</v>
      </c>
      <c r="B419" s="43" t="s">
        <v>3117</v>
      </c>
      <c r="C419" s="162" t="s">
        <v>3534</v>
      </c>
      <c r="D419" s="165" t="s">
        <v>3356</v>
      </c>
      <c r="E419" s="43" t="s">
        <v>3446</v>
      </c>
      <c r="F419" s="43" t="s">
        <v>2793</v>
      </c>
    </row>
    <row r="420" spans="1:26" x14ac:dyDescent="0.3">
      <c r="A420" s="43" t="s">
        <v>555</v>
      </c>
      <c r="B420" s="43" t="s">
        <v>3095</v>
      </c>
      <c r="C420" s="162" t="s">
        <v>2396</v>
      </c>
      <c r="D420" s="162" t="s">
        <v>1158</v>
      </c>
      <c r="E420" s="43" t="s">
        <v>3406</v>
      </c>
      <c r="F420" s="43" t="s">
        <v>2793</v>
      </c>
    </row>
    <row r="421" spans="1:26" x14ac:dyDescent="0.3">
      <c r="A421" s="43" t="s">
        <v>562</v>
      </c>
      <c r="B421" s="43" t="s">
        <v>3095</v>
      </c>
      <c r="C421" s="162">
        <v>1</v>
      </c>
      <c r="D421" s="165">
        <v>0</v>
      </c>
      <c r="E421" s="43" t="s">
        <v>3406</v>
      </c>
      <c r="F421" s="43" t="s">
        <v>2793</v>
      </c>
    </row>
    <row r="422" spans="1:26" x14ac:dyDescent="0.3">
      <c r="A422" s="43" t="s">
        <v>563</v>
      </c>
      <c r="B422" s="43" t="s">
        <v>3095</v>
      </c>
      <c r="C422" s="162" t="s">
        <v>3507</v>
      </c>
      <c r="D422" s="165" t="s">
        <v>3403</v>
      </c>
      <c r="E422" s="43" t="s">
        <v>3406</v>
      </c>
      <c r="F422" s="43" t="s">
        <v>2793</v>
      </c>
    </row>
    <row r="423" spans="1:26" ht="42" customHeight="1" x14ac:dyDescent="0.3">
      <c r="A423" s="182" t="s">
        <v>3540</v>
      </c>
      <c r="B423" s="183"/>
      <c r="C423" s="183"/>
      <c r="D423" s="183"/>
      <c r="E423" s="183"/>
      <c r="F423" s="184"/>
    </row>
    <row r="424" spans="1:26" x14ac:dyDescent="0.3">
      <c r="A424" s="179" t="s">
        <v>3468</v>
      </c>
      <c r="B424" s="180"/>
      <c r="C424" s="180"/>
      <c r="D424" s="180"/>
      <c r="E424" s="180"/>
      <c r="F424" s="181"/>
    </row>
    <row r="425" spans="1:26" x14ac:dyDescent="0.3">
      <c r="A425" s="3" t="s">
        <v>3535</v>
      </c>
      <c r="B425" s="3" t="s">
        <v>3536</v>
      </c>
      <c r="C425" s="3"/>
      <c r="D425" s="3" t="s">
        <v>3403</v>
      </c>
      <c r="E425" s="3" t="s">
        <v>3537</v>
      </c>
      <c r="F425" s="3" t="s">
        <v>2793</v>
      </c>
    </row>
    <row r="426" spans="1:26" x14ac:dyDescent="0.3">
      <c r="A426" s="3" t="s">
        <v>3535</v>
      </c>
      <c r="B426" s="3" t="s">
        <v>3538</v>
      </c>
      <c r="C426" s="3"/>
      <c r="D426" s="3" t="s">
        <v>3403</v>
      </c>
      <c r="E426" s="3" t="s">
        <v>3537</v>
      </c>
      <c r="F426" s="3" t="s">
        <v>2793</v>
      </c>
    </row>
    <row r="427" spans="1:26" x14ac:dyDescent="0.3">
      <c r="A427" s="3" t="s">
        <v>3535</v>
      </c>
      <c r="B427" s="3" t="s">
        <v>3539</v>
      </c>
      <c r="C427" s="3"/>
      <c r="D427" s="3" t="s">
        <v>3403</v>
      </c>
      <c r="E427" s="3" t="s">
        <v>3537</v>
      </c>
      <c r="F427" s="3" t="s">
        <v>2793</v>
      </c>
    </row>
    <row r="428" spans="1:26" x14ac:dyDescent="0.3">
      <c r="A428" s="43"/>
      <c r="B428" s="43"/>
      <c r="C428" s="162"/>
      <c r="D428" s="165"/>
      <c r="E428" s="43"/>
      <c r="F428" s="43"/>
    </row>
    <row r="429" spans="1:26" x14ac:dyDescent="0.3">
      <c r="A429" s="43"/>
      <c r="B429" s="43"/>
      <c r="C429" s="162"/>
      <c r="D429" s="165"/>
      <c r="E429" s="43"/>
      <c r="F429" s="43"/>
    </row>
    <row r="430" spans="1:26" x14ac:dyDescent="0.3">
      <c r="A430" s="43"/>
      <c r="B430" s="43"/>
      <c r="C430" s="162"/>
      <c r="D430" s="165"/>
      <c r="E430" s="43"/>
      <c r="F430" s="43"/>
    </row>
    <row r="431" spans="1:26" x14ac:dyDescent="0.3">
      <c r="A431" s="43"/>
      <c r="B431" s="43"/>
      <c r="C431" s="162"/>
      <c r="D431" s="165"/>
      <c r="E431" s="43"/>
      <c r="F431" s="43"/>
    </row>
    <row r="432" spans="1:26" x14ac:dyDescent="0.3">
      <c r="A432" s="43"/>
      <c r="B432" s="43"/>
      <c r="C432" s="162"/>
      <c r="D432" s="165"/>
      <c r="E432" s="43"/>
      <c r="F432" s="43"/>
    </row>
    <row r="433" spans="1:6" x14ac:dyDescent="0.3">
      <c r="A433" s="43"/>
      <c r="B433" s="43"/>
      <c r="C433" s="162"/>
      <c r="D433" s="165"/>
      <c r="E433" s="43"/>
      <c r="F433" s="43"/>
    </row>
    <row r="434" spans="1:6" x14ac:dyDescent="0.3">
      <c r="A434" s="43"/>
      <c r="B434" s="43"/>
      <c r="C434" s="162"/>
      <c r="D434" s="165"/>
      <c r="E434" s="43"/>
      <c r="F434" s="43"/>
    </row>
    <row r="435" spans="1:6" x14ac:dyDescent="0.3">
      <c r="A435" s="43"/>
      <c r="B435" s="43"/>
      <c r="C435" s="162"/>
      <c r="D435" s="165"/>
      <c r="E435" s="43"/>
      <c r="F435" s="43"/>
    </row>
    <row r="436" spans="1:6" x14ac:dyDescent="0.3">
      <c r="A436" s="43"/>
      <c r="B436" s="43"/>
      <c r="C436" s="162"/>
      <c r="D436" s="165"/>
      <c r="E436" s="43"/>
      <c r="F436" s="43"/>
    </row>
    <row r="437" spans="1:6" x14ac:dyDescent="0.3">
      <c r="A437" s="43"/>
      <c r="B437" s="43"/>
      <c r="C437" s="162"/>
      <c r="D437" s="165"/>
      <c r="E437" s="43"/>
      <c r="F437" s="43"/>
    </row>
    <row r="438" spans="1:6" x14ac:dyDescent="0.3">
      <c r="A438" s="43"/>
      <c r="B438" s="43"/>
      <c r="C438" s="162"/>
      <c r="D438" s="165"/>
      <c r="E438" s="43"/>
      <c r="F438" s="43"/>
    </row>
    <row r="439" spans="1:6" x14ac:dyDescent="0.3">
      <c r="A439" s="43"/>
      <c r="B439" s="43"/>
      <c r="C439" s="162"/>
      <c r="D439" s="165"/>
      <c r="E439" s="43"/>
      <c r="F439" s="43"/>
    </row>
    <row r="440" spans="1:6" x14ac:dyDescent="0.3">
      <c r="A440" s="43"/>
      <c r="B440" s="43"/>
      <c r="C440" s="162"/>
      <c r="D440" s="165"/>
      <c r="E440" s="43"/>
      <c r="F440" s="43"/>
    </row>
    <row r="441" spans="1:6" x14ac:dyDescent="0.3">
      <c r="A441" s="43"/>
      <c r="B441" s="43"/>
      <c r="C441" s="162"/>
      <c r="D441" s="165"/>
      <c r="E441" s="43"/>
      <c r="F441" s="43"/>
    </row>
    <row r="442" spans="1:6" x14ac:dyDescent="0.3">
      <c r="A442" s="43"/>
      <c r="B442" s="43"/>
      <c r="C442" s="162"/>
      <c r="D442" s="165"/>
      <c r="E442" s="43"/>
      <c r="F442" s="43"/>
    </row>
    <row r="443" spans="1:6" x14ac:dyDescent="0.3">
      <c r="A443" s="43"/>
      <c r="B443" s="43"/>
      <c r="C443" s="162"/>
      <c r="D443" s="165"/>
      <c r="E443" s="43"/>
      <c r="F443" s="43"/>
    </row>
    <row r="444" spans="1:6" x14ac:dyDescent="0.3">
      <c r="A444" s="43"/>
      <c r="B444" s="43"/>
      <c r="C444" s="162"/>
      <c r="D444" s="165"/>
      <c r="E444" s="43"/>
      <c r="F444" s="43"/>
    </row>
    <row r="445" spans="1:6" x14ac:dyDescent="0.3">
      <c r="A445" s="43"/>
      <c r="B445" s="43"/>
      <c r="C445" s="162"/>
      <c r="D445" s="165"/>
      <c r="E445" s="43"/>
      <c r="F445" s="43"/>
    </row>
  </sheetData>
  <mergeCells count="8">
    <mergeCell ref="A424:F424"/>
    <mergeCell ref="A423:F423"/>
    <mergeCell ref="A2:F2"/>
    <mergeCell ref="A186:F186"/>
    <mergeCell ref="A204:F204"/>
    <mergeCell ref="A284:F284"/>
    <mergeCell ref="A305:F305"/>
    <mergeCell ref="A324:F3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VW68"/>
  <sheetViews>
    <sheetView zoomScaleNormal="100" workbookViewId="0">
      <pane xSplit="1" ySplit="1" topLeftCell="L2" activePane="bottomRight" state="frozen"/>
      <selection sqref="A1:XFD1"/>
      <selection pane="topRight" sqref="A1:XFD1"/>
      <selection pane="bottomLeft" sqref="A1:XFD1"/>
      <selection pane="bottomRight" activeCell="APM11" sqref="APM11"/>
    </sheetView>
  </sheetViews>
  <sheetFormatPr defaultColWidth="8.81640625" defaultRowHeight="14" x14ac:dyDescent="0.3"/>
  <cols>
    <col min="1" max="1" width="26.08984375" style="1" customWidth="1"/>
    <col min="2" max="4" width="8.81640625" style="1"/>
    <col min="5" max="5" width="11.1796875" style="1" bestFit="1" customWidth="1"/>
    <col min="6" max="7" width="8.81640625" style="1"/>
    <col min="8" max="8" width="8.90625" style="1" bestFit="1" customWidth="1"/>
    <col min="9" max="11" width="8.81640625" style="1"/>
    <col min="12" max="12" width="14.54296875" style="1" customWidth="1"/>
    <col min="13" max="13" width="19.6328125" style="1" customWidth="1"/>
    <col min="14" max="14" width="8.81640625" style="1"/>
    <col min="15" max="19" width="8.90625" style="1" bestFit="1" customWidth="1"/>
    <col min="20" max="20" width="8.81640625" style="1"/>
    <col min="21" max="21" width="19.453125" style="1" customWidth="1"/>
    <col min="22" max="22" width="8.90625" style="1" bestFit="1" customWidth="1"/>
    <col min="23" max="23" width="8.81640625" style="1"/>
    <col min="24" max="24" width="14.453125" style="1" customWidth="1"/>
    <col min="25" max="30" width="8.81640625" style="1"/>
    <col min="31" max="39" width="8.81640625" style="1" bestFit="1" customWidth="1"/>
    <col min="40" max="41" width="8.81640625" style="1"/>
    <col min="42" max="42" width="16.36328125" style="1" customWidth="1"/>
    <col min="43" max="43" width="8.90625" style="1" bestFit="1" customWidth="1"/>
    <col min="44" max="44" width="17.54296875" style="1" customWidth="1"/>
    <col min="45" max="45" width="14.54296875" style="1" customWidth="1"/>
    <col min="46" max="50" width="8.81640625" style="1"/>
    <col min="51" max="58" width="8.90625" style="1" bestFit="1" customWidth="1"/>
    <col min="59" max="60" width="8.81640625" style="1"/>
    <col min="61" max="67" width="8.81640625" style="1" bestFit="1" customWidth="1"/>
    <col min="68" max="69" width="8.81640625" style="1"/>
    <col min="70" max="81" width="8.90625" style="1" bestFit="1" customWidth="1"/>
    <col min="82" max="120" width="8.81640625" style="1"/>
    <col min="121" max="121" width="22.08984375" style="1" customWidth="1"/>
    <col min="122" max="123" width="8.81640625" style="1"/>
    <col min="124" max="126" width="8.81640625" style="1" bestFit="1" customWidth="1"/>
    <col min="127" max="127" width="47" style="1" customWidth="1"/>
    <col min="128" max="128" width="17.90625" style="1" customWidth="1"/>
    <col min="129" max="130" width="8.81640625" style="1"/>
    <col min="131" max="143" width="8.81640625" style="1" bestFit="1" customWidth="1"/>
    <col min="144" max="145" width="8.81640625" style="1"/>
    <col min="146" max="158" width="8.81640625" style="1" bestFit="1" customWidth="1"/>
    <col min="159" max="161" width="8.81640625" style="1"/>
    <col min="162" max="168" width="8.81640625" style="1" bestFit="1" customWidth="1"/>
    <col min="169" max="170" width="8.81640625" style="1"/>
    <col min="171" max="183" width="8.81640625" style="1" bestFit="1" customWidth="1"/>
    <col min="184" max="186" width="8.81640625" style="1"/>
    <col min="187" max="191" width="8.81640625" style="1" bestFit="1" customWidth="1"/>
    <col min="192" max="193" width="8.81640625" style="1"/>
    <col min="194" max="205" width="8.81640625" style="1" bestFit="1" customWidth="1"/>
    <col min="206" max="207" width="8.81640625" style="1" customWidth="1"/>
    <col min="208" max="208" width="8.81640625" style="1"/>
    <col min="209" max="209" width="8.81640625" style="1" bestFit="1" customWidth="1"/>
    <col min="210" max="231" width="8.81640625" style="1"/>
    <col min="232" max="233" width="8.81640625" style="1" bestFit="1" customWidth="1"/>
    <col min="234" max="238" width="8.81640625" style="1"/>
    <col min="239" max="239" width="8.81640625" style="1" bestFit="1" customWidth="1"/>
    <col min="240" max="245" width="8.81640625" style="1"/>
    <col min="246" max="253" width="8.81640625" style="1" bestFit="1" customWidth="1"/>
    <col min="254" max="264" width="8.81640625" style="1"/>
    <col min="265" max="276" width="8.81640625" style="1" bestFit="1" customWidth="1"/>
    <col min="277" max="318" width="8.81640625" style="1"/>
    <col min="319" max="323" width="8.81640625" style="1" bestFit="1" customWidth="1"/>
    <col min="324" max="325" width="8.81640625" style="1"/>
    <col min="326" max="338" width="8.81640625" style="1" bestFit="1" customWidth="1"/>
    <col min="339" max="340" width="8.81640625" style="1"/>
    <col min="341" max="353" width="8.81640625" style="1" bestFit="1" customWidth="1"/>
    <col min="354" max="388" width="8.81640625" style="1"/>
    <col min="389" max="401" width="8.81640625" style="1" bestFit="1" customWidth="1"/>
    <col min="402" max="403" width="8.81640625" style="1"/>
    <col min="404" max="404" width="8.81640625" style="1" bestFit="1" customWidth="1"/>
    <col min="405" max="432" width="8.81640625" style="1"/>
    <col min="433" max="433" width="8.90625" style="1" bestFit="1" customWidth="1"/>
    <col min="434" max="434" width="8.81640625" style="1"/>
    <col min="435" max="436" width="8.81640625" style="1" bestFit="1" customWidth="1"/>
    <col min="437" max="442" width="8.81640625" style="1"/>
    <col min="443" max="443" width="8.81640625" style="1" bestFit="1" customWidth="1"/>
    <col min="444" max="446" width="8.81640625" style="1"/>
    <col min="447" max="460" width="8.90625" style="1" bestFit="1" customWidth="1"/>
    <col min="461" max="463" width="8.81640625" style="1"/>
    <col min="464" max="469" width="8.90625" style="1" bestFit="1" customWidth="1"/>
    <col min="470" max="472" width="8.81640625" style="1"/>
    <col min="473" max="477" width="8.81640625" style="1" bestFit="1" customWidth="1"/>
    <col min="478" max="478" width="8.81640625" style="1"/>
    <col min="479" max="479" width="8.90625" style="1" bestFit="1" customWidth="1"/>
    <col min="480" max="482" width="8.81640625" style="1"/>
    <col min="483" max="492" width="8.90625" style="1" bestFit="1" customWidth="1"/>
    <col min="493" max="503" width="8.81640625" style="1"/>
    <col min="504" max="511" width="8.90625" style="1" bestFit="1" customWidth="1"/>
    <col min="512" max="512" width="8.81640625" style="1"/>
    <col min="513" max="524" width="8.90625" style="1" bestFit="1" customWidth="1"/>
    <col min="525" max="527" width="8.81640625" style="1"/>
    <col min="528" max="531" width="8.81640625" style="1" bestFit="1" customWidth="1"/>
    <col min="532" max="556" width="8.81640625" style="1"/>
    <col min="557" max="561" width="8.90625" style="1" bestFit="1" customWidth="1"/>
    <col min="562" max="566" width="8.81640625" style="1"/>
    <col min="567" max="582" width="8.90625" style="1" bestFit="1" customWidth="1"/>
    <col min="583" max="584" width="8.81640625" style="1"/>
    <col min="585" max="597" width="8.90625" style="1" bestFit="1" customWidth="1"/>
    <col min="598" max="600" width="8.81640625" style="1"/>
    <col min="601" max="607" width="8.90625" style="1" bestFit="1" customWidth="1"/>
    <col min="608" max="609" width="8.81640625" style="1"/>
    <col min="610" max="622" width="8.90625" style="1" bestFit="1" customWidth="1"/>
    <col min="623" max="625" width="8.81640625" style="1"/>
    <col min="626" max="630" width="8.81640625" style="1" bestFit="1" customWidth="1"/>
    <col min="631" max="632" width="8.81640625" style="1"/>
    <col min="633" max="645" width="8.90625" style="1" bestFit="1" customWidth="1"/>
    <col min="646" max="649" width="8.81640625" style="1"/>
    <col min="650" max="657" width="8.90625" style="1" bestFit="1" customWidth="1"/>
    <col min="658" max="663" width="8.81640625" style="1"/>
    <col min="664" max="671" width="8.90625" style="1" bestFit="1" customWidth="1"/>
    <col min="672" max="674" width="8.81640625" style="1"/>
    <col min="675" max="679" width="8.81640625" style="1" bestFit="1" customWidth="1"/>
    <col min="680" max="681" width="8.81640625" style="1"/>
    <col min="682" max="682" width="8.90625" style="1" bestFit="1" customWidth="1"/>
    <col min="683" max="687" width="8.81640625" style="1"/>
    <col min="688" max="688" width="8.90625" style="1" bestFit="1" customWidth="1"/>
    <col min="689" max="694" width="8.81640625" style="1"/>
    <col min="695" max="695" width="21.6328125" style="1" customWidth="1"/>
    <col min="696" max="696" width="8.90625" style="1" bestFit="1" customWidth="1"/>
    <col min="697" max="697" width="14.1796875" style="1" customWidth="1"/>
    <col min="698" max="699" width="8.81640625" style="1"/>
    <col min="700" max="700" width="8.90625" style="1" bestFit="1" customWidth="1"/>
    <col min="701" max="707" width="8.81640625" style="1"/>
    <col min="708" max="715" width="8.81640625" style="1" bestFit="1" customWidth="1"/>
    <col min="716" max="731" width="8.81640625" style="1"/>
    <col min="732" max="732" width="23.90625" style="1" customWidth="1"/>
    <col min="733" max="739" width="8.81640625" style="1"/>
    <col min="740" max="744" width="8.90625" style="1" bestFit="1" customWidth="1"/>
    <col min="745" max="746" width="8.81640625" style="1"/>
    <col min="747" max="752" width="8.90625" style="1" bestFit="1" customWidth="1"/>
    <col min="753" max="753" width="14.08984375" style="1" customWidth="1"/>
    <col min="754" max="758" width="8.90625" style="1" bestFit="1" customWidth="1"/>
    <col min="759" max="759" width="8.81640625" style="1"/>
    <col min="760" max="760" width="8.90625" style="1" bestFit="1" customWidth="1"/>
    <col min="761" max="761" width="8.81640625" style="1"/>
    <col min="762" max="762" width="8.90625" style="1" bestFit="1" customWidth="1"/>
    <col min="763" max="763" width="8.81640625" style="1"/>
    <col min="764" max="764" width="8.90625" style="1" bestFit="1" customWidth="1"/>
    <col min="765" max="765" width="14.1796875" style="1" customWidth="1"/>
    <col min="766" max="767" width="8.90625" style="1" bestFit="1" customWidth="1"/>
    <col min="768" max="773" width="8.81640625" style="1"/>
    <col min="774" max="776" width="8.90625" style="1" bestFit="1" customWidth="1"/>
    <col min="777" max="777" width="14.90625" style="1" customWidth="1"/>
    <col min="778" max="778" width="8.90625" style="1" bestFit="1" customWidth="1"/>
    <col min="779" max="779" width="8.81640625" style="1"/>
    <col min="780" max="781" width="8.90625" style="1" bestFit="1" customWidth="1"/>
    <col min="782" max="784" width="8.81640625" style="1"/>
    <col min="785" max="791" width="8.90625" style="1" bestFit="1" customWidth="1"/>
    <col min="792" max="793" width="8.81640625" style="1"/>
    <col min="794" max="801" width="8.81640625" style="1" bestFit="1" customWidth="1"/>
    <col min="802" max="802" width="8.81640625" style="1"/>
    <col min="803" max="807" width="8.90625" style="1" bestFit="1" customWidth="1"/>
    <col min="808" max="819" width="8.81640625" style="1"/>
    <col min="820" max="825" width="8.90625" style="1" bestFit="1" customWidth="1"/>
    <col min="826" max="826" width="8.81640625" style="1"/>
    <col min="827" max="831" width="8.90625" style="1" bestFit="1" customWidth="1"/>
    <col min="832" max="849" width="8.81640625" style="1"/>
    <col min="850" max="854" width="8.90625" style="1" bestFit="1" customWidth="1"/>
    <col min="855" max="858" width="8.81640625" style="1"/>
    <col min="859" max="863" width="8.81640625" style="1" bestFit="1" customWidth="1"/>
    <col min="864" max="865" width="8.81640625" style="1"/>
    <col min="866" max="868" width="8.81640625" style="1" bestFit="1" customWidth="1"/>
    <col min="869" max="869" width="12.08984375" style="1" bestFit="1" customWidth="1"/>
    <col min="870" max="870" width="8.81640625" style="1" bestFit="1" customWidth="1"/>
    <col min="871" max="874" width="8.81640625" style="1"/>
    <col min="875" max="875" width="8.90625" style="1" bestFit="1" customWidth="1"/>
    <col min="876" max="876" width="8.81640625" style="1"/>
    <col min="877" max="882" width="8.90625" style="1" bestFit="1" customWidth="1"/>
    <col min="883" max="907" width="8.81640625" style="1"/>
    <col min="908" max="912" width="8.90625" style="1" bestFit="1" customWidth="1"/>
    <col min="913" max="914" width="8.81640625" style="1"/>
    <col min="915" max="925" width="8.90625" style="1" bestFit="1" customWidth="1"/>
    <col min="926" max="927" width="8.81640625" style="1"/>
    <col min="928" max="940" width="8.90625" style="1" bestFit="1" customWidth="1"/>
    <col min="941" max="943" width="8.81640625" style="1"/>
    <col min="944" max="950" width="8.90625" style="1" bestFit="1" customWidth="1"/>
    <col min="951" max="952" width="8.81640625" style="1"/>
    <col min="953" max="964" width="8.90625" style="1" bestFit="1" customWidth="1"/>
    <col min="965" max="967" width="8.81640625" style="1"/>
    <col min="968" max="972" width="8.81640625" style="1" bestFit="1" customWidth="1"/>
    <col min="973" max="974" width="8.81640625" style="1"/>
    <col min="975" max="981" width="8.90625" style="1" bestFit="1" customWidth="1"/>
    <col min="982" max="982" width="16" style="1" customWidth="1"/>
    <col min="983" max="986" width="8.90625" style="1" bestFit="1" customWidth="1"/>
    <col min="987" max="988" width="8.81640625" style="1"/>
    <col min="989" max="989" width="8.90625" style="1" bestFit="1" customWidth="1"/>
    <col min="990" max="1010" width="8.81640625" style="1"/>
    <col min="1011" max="1018" width="8.90625" style="1" bestFit="1" customWidth="1"/>
    <col min="1019" max="1020" width="8.81640625" style="1"/>
    <col min="1021" max="1027" width="8.90625" style="1" bestFit="1" customWidth="1"/>
    <col min="1028" max="1028" width="8.81640625" style="1"/>
    <col min="1029" max="1033" width="8.90625" style="1" bestFit="1" customWidth="1"/>
    <col min="1034" max="1035" width="8.81640625" style="1"/>
    <col min="1036" max="1036" width="8.90625" style="1" bestFit="1" customWidth="1"/>
    <col min="1037" max="1037" width="8.81640625" style="1"/>
    <col min="1038" max="1043" width="8.90625" style="1" bestFit="1" customWidth="1"/>
    <col min="1044" max="1044" width="8.81640625" style="1"/>
    <col min="1045" max="1045" width="8.90625" style="1" bestFit="1" customWidth="1"/>
    <col min="1046" max="1048" width="8.81640625" style="1"/>
    <col min="1049" max="1057" width="8.90625" style="1" bestFit="1" customWidth="1"/>
    <col min="1058" max="1059" width="8.81640625" style="1"/>
    <col min="1060" max="1070" width="8.81640625" style="1" bestFit="1" customWidth="1"/>
    <col min="1071" max="1072" width="8.81640625" style="1"/>
    <col min="1073" max="1073" width="8.81640625" style="1" bestFit="1" customWidth="1"/>
    <col min="1074" max="1074" width="8.81640625" style="1"/>
    <col min="1075" max="1082" width="8.90625" style="1" bestFit="1" customWidth="1"/>
    <col min="1083" max="1089" width="8.81640625" style="1"/>
    <col min="1090" max="1097" width="8.90625" style="1" bestFit="1" customWidth="1"/>
    <col min="1098" max="1102" width="8.81640625" style="1"/>
    <col min="1103" max="1103" width="8.81640625" style="1" bestFit="1" customWidth="1"/>
    <col min="1104" max="1104" width="8.90625" style="1" bestFit="1" customWidth="1"/>
    <col min="1105" max="1108" width="8.81640625" style="1"/>
    <col min="1109" max="1115" width="8.90625" style="1" bestFit="1" customWidth="1"/>
    <col min="1116" max="1117" width="8.81640625" style="1"/>
    <col min="1118" max="1124" width="8.81640625" style="1" bestFit="1" customWidth="1"/>
    <col min="1125" max="1126" width="8.81640625" style="1"/>
    <col min="1127" max="1132" width="8.90625" style="1" bestFit="1" customWidth="1"/>
    <col min="1133" max="1134" width="8.81640625" style="1"/>
    <col min="1135" max="1135" width="8.81640625" style="1" bestFit="1" customWidth="1"/>
    <col min="1136" max="1139" width="8.81640625" style="1"/>
    <col min="1140" max="1140" width="8.81640625" style="1" bestFit="1" customWidth="1"/>
    <col min="1141" max="1155" width="8.81640625" style="1"/>
    <col min="1156" max="1156" width="8.90625" style="1" bestFit="1" customWidth="1"/>
    <col min="1157" max="1159" width="8.81640625" style="1"/>
    <col min="1160" max="1171" width="8.90625" style="1" bestFit="1" customWidth="1"/>
    <col min="1172" max="1173" width="8.81640625" style="1"/>
    <col min="1174" max="1180" width="8.90625" style="1" bestFit="1" customWidth="1"/>
    <col min="1181" max="1183" width="8.81640625" style="1"/>
    <col min="1184" max="1190" width="8.90625" style="1" bestFit="1" customWidth="1"/>
    <col min="1191" max="1192" width="8.81640625" style="1"/>
    <col min="1193" max="1197" width="8.90625" style="1" bestFit="1" customWidth="1"/>
    <col min="1198" max="1199" width="8.81640625" style="1"/>
    <col min="1200" max="1212" width="8.90625" style="1" bestFit="1" customWidth="1"/>
    <col min="1213" max="1214" width="8.81640625" style="1"/>
    <col min="1215" max="1231" width="8.90625" style="1" bestFit="1" customWidth="1"/>
    <col min="1232" max="1263" width="8.81640625" style="1"/>
    <col min="1264" max="1266" width="8.90625" style="1" bestFit="1" customWidth="1"/>
    <col min="1267" max="1267" width="18.1796875" style="1" customWidth="1"/>
    <col min="1268" max="1271" width="8.90625" style="1" bestFit="1" customWidth="1"/>
    <col min="1272" max="1272" width="8.81640625" style="1" bestFit="1" customWidth="1"/>
    <col min="1273" max="1321" width="8.81640625" style="1"/>
    <col min="1322" max="1322" width="9.08984375" style="1" bestFit="1" customWidth="1"/>
    <col min="1323" max="1324" width="8.81640625" style="1"/>
    <col min="1325" max="1325" width="8.81640625" style="1" bestFit="1" customWidth="1"/>
    <col min="1326" max="16384" width="8.81640625" style="1"/>
  </cols>
  <sheetData>
    <row r="1" spans="1:1271"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57"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x14ac:dyDescent="0.3">
      <c r="A2" s="1" t="s">
        <v>2342</v>
      </c>
      <c r="B2" s="1" t="s">
        <v>2343</v>
      </c>
      <c r="C2" s="1" t="s">
        <v>2344</v>
      </c>
      <c r="D2" s="1" t="s">
        <v>2345</v>
      </c>
      <c r="E2" s="1">
        <v>356676101957824</v>
      </c>
      <c r="F2" s="1" t="s">
        <v>2345</v>
      </c>
      <c r="H2" s="2"/>
      <c r="I2" s="1" t="s">
        <v>1659</v>
      </c>
      <c r="J2" s="1" t="s">
        <v>2346</v>
      </c>
      <c r="K2" s="1" t="s">
        <v>2346</v>
      </c>
      <c r="N2" s="1" t="s">
        <v>1153</v>
      </c>
      <c r="O2" s="2">
        <v>1</v>
      </c>
      <c r="P2" s="2">
        <v>0</v>
      </c>
      <c r="Q2" s="2">
        <v>0</v>
      </c>
      <c r="R2" s="2">
        <v>0</v>
      </c>
      <c r="S2" s="2">
        <v>0</v>
      </c>
      <c r="U2" s="1" t="s">
        <v>1190</v>
      </c>
      <c r="W2" s="1" t="s">
        <v>1156</v>
      </c>
      <c r="X2" s="1" t="s">
        <v>1155</v>
      </c>
      <c r="AB2" s="1" t="s">
        <v>2347</v>
      </c>
      <c r="AC2" s="1">
        <v>1</v>
      </c>
      <c r="AD2" s="1">
        <v>0</v>
      </c>
      <c r="AE2" s="1">
        <v>0</v>
      </c>
      <c r="AF2" s="1">
        <v>0</v>
      </c>
      <c r="AG2" s="1">
        <v>0</v>
      </c>
      <c r="AH2" s="1">
        <v>0</v>
      </c>
      <c r="AI2" s="1">
        <v>1</v>
      </c>
      <c r="AJ2" s="1">
        <v>0</v>
      </c>
      <c r="AK2" s="1">
        <v>0</v>
      </c>
      <c r="AM2" s="1" t="s">
        <v>2348</v>
      </c>
      <c r="BO2" s="1" t="s">
        <v>1158</v>
      </c>
      <c r="BP2" s="1">
        <v>0</v>
      </c>
      <c r="BQ2" s="1">
        <v>0</v>
      </c>
      <c r="BR2" s="1">
        <v>0</v>
      </c>
      <c r="BS2" s="1">
        <v>0</v>
      </c>
      <c r="BT2" s="1">
        <v>0</v>
      </c>
      <c r="BU2" s="1">
        <v>1</v>
      </c>
      <c r="BV2" s="1">
        <v>0</v>
      </c>
      <c r="BW2" s="1">
        <v>0</v>
      </c>
      <c r="BX2" s="1">
        <v>0</v>
      </c>
      <c r="BY2" s="1">
        <v>0</v>
      </c>
      <c r="BZ2" s="1">
        <v>0</v>
      </c>
      <c r="CA2" s="1">
        <v>0</v>
      </c>
      <c r="FB2" s="1" t="s">
        <v>1156</v>
      </c>
      <c r="FC2" s="1" t="s">
        <v>1158</v>
      </c>
      <c r="FD2" s="2">
        <v>0</v>
      </c>
      <c r="FE2" s="2">
        <v>0</v>
      </c>
      <c r="FF2" s="2">
        <v>0</v>
      </c>
      <c r="FG2" s="2">
        <v>0</v>
      </c>
      <c r="FH2" s="2">
        <v>1</v>
      </c>
      <c r="FI2" s="2">
        <v>0</v>
      </c>
      <c r="FJ2" s="2">
        <v>0</v>
      </c>
      <c r="FL2" s="1" t="s">
        <v>2349</v>
      </c>
      <c r="FM2" s="2">
        <v>0</v>
      </c>
      <c r="FN2" s="2">
        <v>1</v>
      </c>
      <c r="FO2" s="2">
        <v>0</v>
      </c>
      <c r="FP2" s="2">
        <v>0</v>
      </c>
      <c r="FQ2" s="2">
        <v>0</v>
      </c>
      <c r="FR2" s="2">
        <v>0</v>
      </c>
      <c r="FS2" s="2">
        <v>1</v>
      </c>
      <c r="FT2" s="2">
        <v>0</v>
      </c>
      <c r="FU2" s="2">
        <v>0</v>
      </c>
      <c r="FV2" s="2">
        <v>0</v>
      </c>
      <c r="FW2" s="2">
        <v>0</v>
      </c>
      <c r="FX2" s="2">
        <v>0</v>
      </c>
      <c r="FY2" s="2">
        <v>0</v>
      </c>
      <c r="GA2" s="1" t="s">
        <v>1155</v>
      </c>
      <c r="GB2" s="1" t="s">
        <v>2350</v>
      </c>
      <c r="GC2" s="2">
        <v>0</v>
      </c>
      <c r="GD2" s="2">
        <v>1</v>
      </c>
      <c r="GE2" s="2">
        <v>0</v>
      </c>
      <c r="GF2" s="2">
        <v>0</v>
      </c>
      <c r="GG2" s="2">
        <v>0</v>
      </c>
      <c r="GI2" s="1" t="s">
        <v>1162</v>
      </c>
      <c r="GJ2" s="2">
        <v>0</v>
      </c>
      <c r="GK2" s="2">
        <v>0</v>
      </c>
      <c r="GL2" s="2">
        <v>0</v>
      </c>
      <c r="GM2" s="2">
        <v>0</v>
      </c>
      <c r="GN2" s="2">
        <v>0</v>
      </c>
      <c r="GO2" s="2">
        <v>0</v>
      </c>
      <c r="GP2" s="2">
        <v>0</v>
      </c>
      <c r="GQ2" s="2">
        <v>0</v>
      </c>
      <c r="GR2" s="2">
        <v>0</v>
      </c>
      <c r="GS2" s="2">
        <v>0</v>
      </c>
      <c r="GT2" s="2">
        <v>0</v>
      </c>
      <c r="GU2" s="2">
        <v>1</v>
      </c>
      <c r="GV2" s="2">
        <v>0</v>
      </c>
      <c r="PW2" s="2"/>
      <c r="PX2" s="2"/>
      <c r="PY2" s="2"/>
      <c r="PZ2" s="2"/>
      <c r="QA2" s="2"/>
      <c r="QB2" s="2"/>
      <c r="QC2" s="2"/>
      <c r="QD2" s="2"/>
      <c r="QE2" s="2"/>
      <c r="QF2" s="2"/>
      <c r="QG2" s="2"/>
      <c r="QH2" s="2"/>
      <c r="QI2" s="2"/>
      <c r="QJ2" s="2"/>
      <c r="QN2" s="2"/>
      <c r="QO2" s="2"/>
      <c r="QP2" s="2"/>
      <c r="QQ2" s="2"/>
      <c r="QR2" s="2"/>
      <c r="QS2" s="2"/>
      <c r="RC2" s="2"/>
      <c r="RG2" s="2"/>
      <c r="RH2" s="2"/>
      <c r="RI2" s="2"/>
      <c r="RJ2" s="2"/>
      <c r="RK2" s="2"/>
      <c r="RL2" s="2"/>
      <c r="RM2" s="2"/>
      <c r="RN2" s="2"/>
      <c r="RO2" s="2"/>
      <c r="RP2" s="2"/>
      <c r="SB2" s="2"/>
      <c r="SC2" s="2"/>
      <c r="SD2" s="2"/>
      <c r="SE2" s="2"/>
      <c r="SF2" s="2"/>
      <c r="SG2" s="2"/>
      <c r="SH2" s="2"/>
      <c r="SI2" s="2"/>
      <c r="SK2" s="2"/>
      <c r="SL2" s="2"/>
      <c r="SM2" s="2"/>
      <c r="SN2" s="2"/>
      <c r="SO2" s="2"/>
      <c r="SP2" s="2"/>
      <c r="SQ2" s="2"/>
      <c r="SR2" s="2"/>
      <c r="SS2" s="2"/>
      <c r="ST2" s="2"/>
      <c r="SU2" s="2"/>
      <c r="SV2" s="2"/>
      <c r="SZ2" s="2"/>
      <c r="TA2" s="2"/>
      <c r="TB2" s="2"/>
      <c r="TC2" s="2"/>
      <c r="UC2" s="2"/>
      <c r="UD2" s="2"/>
      <c r="UE2" s="2"/>
      <c r="UF2" s="2"/>
      <c r="UG2" s="2"/>
      <c r="UM2" s="2"/>
      <c r="UN2" s="2"/>
      <c r="UO2" s="2"/>
      <c r="UP2" s="2"/>
      <c r="UQ2" s="2"/>
      <c r="UR2" s="2"/>
      <c r="US2" s="2"/>
      <c r="UT2" s="2"/>
      <c r="UU2" s="2"/>
      <c r="UV2" s="2"/>
      <c r="UW2" s="2"/>
      <c r="UX2" s="2"/>
      <c r="UY2" s="2"/>
      <c r="UZ2" s="2"/>
      <c r="VA2" s="2"/>
      <c r="VB2" s="2"/>
      <c r="VE2" s="2"/>
      <c r="VF2" s="2"/>
      <c r="VG2" s="2"/>
      <c r="VH2" s="2"/>
      <c r="VI2" s="2"/>
      <c r="VJ2" s="2"/>
      <c r="VK2" s="2"/>
      <c r="VL2" s="2"/>
      <c r="VM2" s="2"/>
      <c r="VN2" s="2"/>
      <c r="VO2" s="2"/>
      <c r="VP2" s="2"/>
      <c r="VQ2" s="2"/>
      <c r="VU2" s="2"/>
      <c r="VV2" s="2"/>
      <c r="VW2" s="2"/>
      <c r="VX2" s="2"/>
      <c r="VY2" s="2"/>
      <c r="VZ2" s="2"/>
      <c r="WA2" s="2"/>
      <c r="WD2" s="2"/>
      <c r="WE2" s="2"/>
      <c r="WF2" s="2"/>
      <c r="WG2" s="2"/>
      <c r="WH2" s="2"/>
      <c r="WI2" s="2"/>
      <c r="WJ2" s="2"/>
      <c r="WK2" s="2"/>
      <c r="WL2" s="2"/>
      <c r="WM2" s="2"/>
      <c r="WN2" s="2"/>
      <c r="WO2" s="2"/>
      <c r="WP2" s="2"/>
      <c r="XA2" s="2"/>
      <c r="XB2" s="2"/>
      <c r="XC2" s="2"/>
      <c r="XD2" s="2"/>
      <c r="XE2" s="2"/>
      <c r="XF2" s="2"/>
      <c r="XG2" s="2"/>
      <c r="XH2" s="2"/>
      <c r="XI2" s="2"/>
      <c r="XJ2" s="2"/>
      <c r="XK2" s="2"/>
      <c r="XL2" s="2"/>
      <c r="XM2" s="2"/>
      <c r="YF2" s="2"/>
      <c r="YG2" s="2"/>
      <c r="YH2" s="2"/>
      <c r="YI2" s="2"/>
      <c r="YJ2" s="2"/>
      <c r="YK2" s="2"/>
      <c r="YL2" s="2"/>
      <c r="YM2" s="2"/>
      <c r="YX2" s="2"/>
      <c r="ZD2" s="2"/>
      <c r="ZL2" s="2"/>
      <c r="AVT2" s="1">
        <v>136623323</v>
      </c>
      <c r="AVU2" s="1" t="s">
        <v>2351</v>
      </c>
      <c r="AVW2" s="1">
        <v>242</v>
      </c>
    </row>
    <row r="3" spans="1:1271" x14ac:dyDescent="0.3">
      <c r="A3" s="1" t="s">
        <v>2352</v>
      </c>
      <c r="B3" s="1" t="s">
        <v>2353</v>
      </c>
      <c r="C3" s="1" t="s">
        <v>2354</v>
      </c>
      <c r="D3" s="1" t="s">
        <v>2345</v>
      </c>
      <c r="E3" s="1">
        <v>356676101957824</v>
      </c>
      <c r="F3" s="1" t="s">
        <v>2345</v>
      </c>
      <c r="H3" s="2"/>
      <c r="I3" s="1" t="s">
        <v>1659</v>
      </c>
      <c r="J3" s="1" t="s">
        <v>2346</v>
      </c>
      <c r="K3" s="1" t="s">
        <v>2346</v>
      </c>
      <c r="N3" s="1" t="s">
        <v>1153</v>
      </c>
      <c r="O3" s="2">
        <v>1</v>
      </c>
      <c r="P3" s="2">
        <v>0</v>
      </c>
      <c r="Q3" s="2">
        <v>0</v>
      </c>
      <c r="R3" s="2">
        <v>0</v>
      </c>
      <c r="S3" s="2">
        <v>0</v>
      </c>
      <c r="U3" s="1" t="s">
        <v>2277</v>
      </c>
      <c r="W3" s="1" t="s">
        <v>1155</v>
      </c>
      <c r="X3" s="1" t="s">
        <v>1156</v>
      </c>
      <c r="AN3" s="1" t="s">
        <v>1192</v>
      </c>
      <c r="AO3" s="1">
        <v>60</v>
      </c>
      <c r="AP3" s="1" t="s">
        <v>1398</v>
      </c>
      <c r="AR3" s="1" t="s">
        <v>1801</v>
      </c>
      <c r="AS3" s="1" t="s">
        <v>1833</v>
      </c>
      <c r="AT3" s="1" t="s">
        <v>1156</v>
      </c>
      <c r="AU3" s="1" t="s">
        <v>1186</v>
      </c>
      <c r="AV3" s="1" t="s">
        <v>2182</v>
      </c>
      <c r="AW3" s="1">
        <v>0</v>
      </c>
      <c r="AX3" s="1">
        <v>0</v>
      </c>
      <c r="AY3" s="1">
        <v>1</v>
      </c>
      <c r="AZ3" s="1">
        <v>1</v>
      </c>
      <c r="BA3" s="1">
        <v>0</v>
      </c>
      <c r="BB3" s="1">
        <v>0</v>
      </c>
      <c r="BC3" s="1">
        <v>0</v>
      </c>
      <c r="BD3" s="1">
        <v>0</v>
      </c>
      <c r="BO3" s="1" t="s">
        <v>1159</v>
      </c>
      <c r="BP3" s="1">
        <v>0</v>
      </c>
      <c r="BQ3" s="1">
        <v>0</v>
      </c>
      <c r="BR3" s="1">
        <v>1</v>
      </c>
      <c r="BS3" s="1">
        <v>0</v>
      </c>
      <c r="BT3" s="1">
        <v>0</v>
      </c>
      <c r="BU3" s="1">
        <v>0</v>
      </c>
      <c r="BV3" s="1">
        <v>0</v>
      </c>
      <c r="BW3" s="1">
        <v>0</v>
      </c>
      <c r="BX3" s="1">
        <v>0</v>
      </c>
      <c r="BY3" s="1">
        <v>0</v>
      </c>
      <c r="BZ3" s="1">
        <v>0</v>
      </c>
      <c r="CA3" s="1">
        <v>0</v>
      </c>
      <c r="CC3" s="1" t="s">
        <v>1155</v>
      </c>
      <c r="DQ3" s="1" t="s">
        <v>1162</v>
      </c>
      <c r="DR3" s="2">
        <v>0</v>
      </c>
      <c r="DS3" s="2">
        <v>0</v>
      </c>
      <c r="DT3" s="2">
        <v>1</v>
      </c>
      <c r="DU3" s="2">
        <v>0</v>
      </c>
      <c r="DV3" s="2">
        <v>0</v>
      </c>
      <c r="DX3" s="1" t="s">
        <v>2355</v>
      </c>
      <c r="DY3" s="2">
        <v>1</v>
      </c>
      <c r="DZ3" s="2">
        <v>1</v>
      </c>
      <c r="EA3" s="2">
        <v>1</v>
      </c>
      <c r="EB3" s="2">
        <v>0</v>
      </c>
      <c r="EC3" s="2">
        <v>0</v>
      </c>
      <c r="ED3" s="2">
        <v>0</v>
      </c>
      <c r="EE3" s="2">
        <v>0</v>
      </c>
      <c r="EF3" s="2">
        <v>1</v>
      </c>
      <c r="EG3" s="2">
        <v>1</v>
      </c>
      <c r="EH3" s="2">
        <v>0</v>
      </c>
      <c r="EI3" s="2">
        <v>0</v>
      </c>
      <c r="EJ3" s="2">
        <v>0</v>
      </c>
      <c r="EK3" s="2">
        <v>0</v>
      </c>
      <c r="EM3" s="1" t="s">
        <v>1164</v>
      </c>
      <c r="EN3" s="2">
        <v>0</v>
      </c>
      <c r="EO3" s="2">
        <v>0</v>
      </c>
      <c r="EP3" s="2">
        <v>0</v>
      </c>
      <c r="EQ3" s="2">
        <v>0</v>
      </c>
      <c r="ER3" s="2">
        <v>0</v>
      </c>
      <c r="ES3" s="2">
        <v>0</v>
      </c>
      <c r="ET3" s="2">
        <v>0</v>
      </c>
      <c r="EU3" s="2">
        <v>0</v>
      </c>
      <c r="EV3" s="2">
        <v>0</v>
      </c>
      <c r="EW3" s="2">
        <v>1</v>
      </c>
      <c r="EX3" s="2">
        <v>0</v>
      </c>
      <c r="EY3" s="2">
        <v>0</v>
      </c>
      <c r="EZ3" s="2">
        <v>0</v>
      </c>
      <c r="FB3" s="1" t="s">
        <v>1155</v>
      </c>
      <c r="GI3" s="1" t="s">
        <v>2356</v>
      </c>
      <c r="GJ3" s="2">
        <v>0</v>
      </c>
      <c r="GK3" s="2">
        <v>1</v>
      </c>
      <c r="GL3" s="2">
        <v>1</v>
      </c>
      <c r="GM3" s="2">
        <v>1</v>
      </c>
      <c r="GN3" s="2">
        <v>1</v>
      </c>
      <c r="GO3" s="2">
        <v>0</v>
      </c>
      <c r="GP3" s="2">
        <v>1</v>
      </c>
      <c r="GQ3" s="2">
        <v>0</v>
      </c>
      <c r="GR3" s="2">
        <v>0</v>
      </c>
      <c r="GS3" s="2">
        <v>0</v>
      </c>
      <c r="GT3" s="2">
        <v>1</v>
      </c>
      <c r="GU3" s="2">
        <v>0</v>
      </c>
      <c r="GV3" s="2">
        <v>0</v>
      </c>
      <c r="PW3" s="2"/>
      <c r="PX3" s="2"/>
      <c r="PY3" s="2"/>
      <c r="PZ3" s="2"/>
      <c r="QA3" s="2"/>
      <c r="QB3" s="2"/>
      <c r="QC3" s="2"/>
      <c r="QD3" s="2"/>
      <c r="QE3" s="2"/>
      <c r="QF3" s="2"/>
      <c r="QG3" s="2"/>
      <c r="QH3" s="2"/>
      <c r="QI3" s="2"/>
      <c r="QJ3" s="2"/>
      <c r="QN3" s="2"/>
      <c r="QO3" s="2"/>
      <c r="QP3" s="2"/>
      <c r="QQ3" s="2"/>
      <c r="QR3" s="2"/>
      <c r="QS3" s="2"/>
      <c r="RC3" s="2"/>
      <c r="RG3" s="2"/>
      <c r="RH3" s="2"/>
      <c r="RI3" s="2"/>
      <c r="RJ3" s="2"/>
      <c r="RK3" s="2"/>
      <c r="RL3" s="2"/>
      <c r="RM3" s="2"/>
      <c r="RN3" s="2"/>
      <c r="RO3" s="2"/>
      <c r="RP3" s="2"/>
      <c r="SB3" s="2"/>
      <c r="SC3" s="2"/>
      <c r="SD3" s="2"/>
      <c r="SE3" s="2"/>
      <c r="SF3" s="2"/>
      <c r="SG3" s="2"/>
      <c r="SH3" s="2"/>
      <c r="SI3" s="2"/>
      <c r="SK3" s="2"/>
      <c r="SL3" s="2"/>
      <c r="SM3" s="2"/>
      <c r="SN3" s="2"/>
      <c r="SO3" s="2"/>
      <c r="SP3" s="2"/>
      <c r="SQ3" s="2"/>
      <c r="SR3" s="2"/>
      <c r="SS3" s="2"/>
      <c r="ST3" s="2"/>
      <c r="SU3" s="2"/>
      <c r="SV3" s="2"/>
      <c r="SZ3" s="2"/>
      <c r="TA3" s="2"/>
      <c r="TB3" s="2"/>
      <c r="TC3" s="2"/>
      <c r="UC3" s="2"/>
      <c r="UD3" s="2"/>
      <c r="UE3" s="2"/>
      <c r="UF3" s="2"/>
      <c r="UG3" s="2"/>
      <c r="UM3" s="2"/>
      <c r="UN3" s="2"/>
      <c r="UO3" s="2"/>
      <c r="UP3" s="2"/>
      <c r="UQ3" s="2"/>
      <c r="UR3" s="2"/>
      <c r="US3" s="2"/>
      <c r="UT3" s="2"/>
      <c r="UU3" s="2"/>
      <c r="UV3" s="2"/>
      <c r="UW3" s="2"/>
      <c r="UX3" s="2"/>
      <c r="UY3" s="2"/>
      <c r="UZ3" s="2"/>
      <c r="VA3" s="2"/>
      <c r="VB3" s="2"/>
      <c r="VE3" s="2"/>
      <c r="VF3" s="2"/>
      <c r="VG3" s="2"/>
      <c r="VH3" s="2"/>
      <c r="VI3" s="2"/>
      <c r="VJ3" s="2"/>
      <c r="VK3" s="2"/>
      <c r="VL3" s="2"/>
      <c r="VM3" s="2"/>
      <c r="VN3" s="2"/>
      <c r="VO3" s="2"/>
      <c r="VP3" s="2"/>
      <c r="VQ3" s="2"/>
      <c r="VU3" s="2"/>
      <c r="VV3" s="2"/>
      <c r="VW3" s="2"/>
      <c r="VX3" s="2"/>
      <c r="VY3" s="2"/>
      <c r="VZ3" s="2"/>
      <c r="WA3" s="2"/>
      <c r="WD3" s="2"/>
      <c r="WE3" s="2"/>
      <c r="WF3" s="2"/>
      <c r="WG3" s="2"/>
      <c r="WH3" s="2"/>
      <c r="WI3" s="2"/>
      <c r="WJ3" s="2"/>
      <c r="WK3" s="2"/>
      <c r="WL3" s="2"/>
      <c r="WM3" s="2"/>
      <c r="WN3" s="2"/>
      <c r="WO3" s="2"/>
      <c r="WP3" s="2"/>
      <c r="XA3" s="2"/>
      <c r="XB3" s="2"/>
      <c r="XC3" s="2"/>
      <c r="XD3" s="2"/>
      <c r="XE3" s="2"/>
      <c r="XF3" s="2"/>
      <c r="XG3" s="2"/>
      <c r="XH3" s="2"/>
      <c r="XI3" s="2"/>
      <c r="XJ3" s="2"/>
      <c r="XK3" s="2"/>
      <c r="XL3" s="2"/>
      <c r="XM3" s="2"/>
      <c r="YF3" s="2"/>
      <c r="YG3" s="2"/>
      <c r="YH3" s="2"/>
      <c r="YI3" s="2"/>
      <c r="YJ3" s="2"/>
      <c r="YK3" s="2"/>
      <c r="YL3" s="2"/>
      <c r="YM3" s="2"/>
      <c r="YX3" s="2"/>
      <c r="ZD3" s="2"/>
      <c r="ZL3" s="2"/>
      <c r="AVT3" s="1">
        <v>136581028</v>
      </c>
      <c r="AVU3" s="1" t="s">
        <v>2357</v>
      </c>
      <c r="AVW3" s="1">
        <v>243</v>
      </c>
    </row>
    <row r="4" spans="1:1271" x14ac:dyDescent="0.3">
      <c r="A4" s="1" t="s">
        <v>2358</v>
      </c>
      <c r="B4" s="1" t="s">
        <v>2359</v>
      </c>
      <c r="C4" s="1" t="s">
        <v>2360</v>
      </c>
      <c r="D4" s="1" t="s">
        <v>2345</v>
      </c>
      <c r="E4" s="1">
        <v>356676101957824</v>
      </c>
      <c r="F4" s="1" t="s">
        <v>2345</v>
      </c>
      <c r="H4" s="2"/>
      <c r="I4" s="1" t="s">
        <v>1659</v>
      </c>
      <c r="J4" s="1" t="s">
        <v>2346</v>
      </c>
      <c r="K4" s="1" t="s">
        <v>2346</v>
      </c>
      <c r="N4" s="1" t="s">
        <v>1153</v>
      </c>
      <c r="O4" s="2">
        <v>1</v>
      </c>
      <c r="P4" s="2">
        <v>0</v>
      </c>
      <c r="Q4" s="2">
        <v>0</v>
      </c>
      <c r="R4" s="2">
        <v>0</v>
      </c>
      <c r="S4" s="2">
        <v>0</v>
      </c>
      <c r="U4" s="1" t="s">
        <v>1183</v>
      </c>
      <c r="W4" s="1" t="s">
        <v>1156</v>
      </c>
      <c r="X4" s="1" t="s">
        <v>1156</v>
      </c>
      <c r="AN4" s="1" t="s">
        <v>1182</v>
      </c>
      <c r="AO4" s="1">
        <v>80</v>
      </c>
      <c r="AP4" s="1" t="s">
        <v>1398</v>
      </c>
      <c r="AR4" s="1" t="s">
        <v>1801</v>
      </c>
      <c r="AS4" s="1" t="s">
        <v>1164</v>
      </c>
      <c r="AT4" s="1" t="s">
        <v>1156</v>
      </c>
      <c r="AU4" s="1" t="s">
        <v>1186</v>
      </c>
      <c r="AV4" s="1" t="s">
        <v>2361</v>
      </c>
      <c r="AW4" s="1">
        <v>1</v>
      </c>
      <c r="AX4" s="1">
        <v>0</v>
      </c>
      <c r="AY4" s="1">
        <v>1</v>
      </c>
      <c r="AZ4" s="1">
        <v>0</v>
      </c>
      <c r="BA4" s="1">
        <v>0</v>
      </c>
      <c r="BB4" s="1">
        <v>0</v>
      </c>
      <c r="BC4" s="1">
        <v>0</v>
      </c>
      <c r="BD4" s="1">
        <v>0</v>
      </c>
      <c r="BO4" s="1" t="s">
        <v>1158</v>
      </c>
      <c r="BP4" s="1">
        <v>0</v>
      </c>
      <c r="BQ4" s="1">
        <v>0</v>
      </c>
      <c r="BR4" s="1">
        <v>0</v>
      </c>
      <c r="BS4" s="1">
        <v>0</v>
      </c>
      <c r="BT4" s="1">
        <v>0</v>
      </c>
      <c r="BU4" s="1">
        <v>1</v>
      </c>
      <c r="BV4" s="1">
        <v>0</v>
      </c>
      <c r="BW4" s="1">
        <v>0</v>
      </c>
      <c r="BX4" s="1">
        <v>0</v>
      </c>
      <c r="BY4" s="1">
        <v>0</v>
      </c>
      <c r="BZ4" s="1">
        <v>0</v>
      </c>
      <c r="CA4" s="1">
        <v>0</v>
      </c>
      <c r="CC4" s="1" t="s">
        <v>1155</v>
      </c>
      <c r="DQ4" s="1" t="s">
        <v>1169</v>
      </c>
      <c r="DR4" s="2">
        <v>0</v>
      </c>
      <c r="DS4" s="2">
        <v>1</v>
      </c>
      <c r="DT4" s="2">
        <v>0</v>
      </c>
      <c r="DU4" s="2">
        <v>0</v>
      </c>
      <c r="DV4" s="2">
        <v>0</v>
      </c>
      <c r="DX4" s="1" t="s">
        <v>1164</v>
      </c>
      <c r="DY4" s="2">
        <v>0</v>
      </c>
      <c r="DZ4" s="2">
        <v>0</v>
      </c>
      <c r="EA4" s="2">
        <v>0</v>
      </c>
      <c r="EB4" s="2">
        <v>0</v>
      </c>
      <c r="EC4" s="2">
        <v>0</v>
      </c>
      <c r="ED4" s="2">
        <v>0</v>
      </c>
      <c r="EE4" s="2">
        <v>0</v>
      </c>
      <c r="EF4" s="2">
        <v>0</v>
      </c>
      <c r="EG4" s="2">
        <v>0</v>
      </c>
      <c r="EH4" s="2">
        <v>1</v>
      </c>
      <c r="EI4" s="2">
        <v>0</v>
      </c>
      <c r="EJ4" s="2">
        <v>0</v>
      </c>
      <c r="EK4" s="2">
        <v>0</v>
      </c>
      <c r="EM4" s="1" t="s">
        <v>2362</v>
      </c>
      <c r="EN4" s="2">
        <v>0</v>
      </c>
      <c r="EO4" s="2">
        <v>0</v>
      </c>
      <c r="EP4" s="2">
        <v>0</v>
      </c>
      <c r="EQ4" s="2">
        <v>0</v>
      </c>
      <c r="ER4" s="2">
        <v>0</v>
      </c>
      <c r="ES4" s="2">
        <v>1</v>
      </c>
      <c r="ET4" s="2">
        <v>1</v>
      </c>
      <c r="EU4" s="2">
        <v>1</v>
      </c>
      <c r="EV4" s="2">
        <v>0</v>
      </c>
      <c r="EW4" s="2">
        <v>0</v>
      </c>
      <c r="EX4" s="2">
        <v>0</v>
      </c>
      <c r="EY4" s="2">
        <v>0</v>
      </c>
      <c r="EZ4" s="2">
        <v>0</v>
      </c>
      <c r="FB4" s="1" t="s">
        <v>1155</v>
      </c>
      <c r="GI4" s="1" t="s">
        <v>2363</v>
      </c>
      <c r="GJ4" s="2">
        <v>0</v>
      </c>
      <c r="GK4" s="2">
        <v>0</v>
      </c>
      <c r="GL4" s="2">
        <v>0</v>
      </c>
      <c r="GM4" s="2">
        <v>1</v>
      </c>
      <c r="GN4" s="2">
        <v>1</v>
      </c>
      <c r="GO4" s="2">
        <v>0</v>
      </c>
      <c r="GP4" s="2">
        <v>0</v>
      </c>
      <c r="GQ4" s="2">
        <v>0</v>
      </c>
      <c r="GR4" s="2">
        <v>0</v>
      </c>
      <c r="GS4" s="2">
        <v>0</v>
      </c>
      <c r="GT4" s="2">
        <v>0</v>
      </c>
      <c r="GU4" s="2">
        <v>0</v>
      </c>
      <c r="GV4" s="2">
        <v>0</v>
      </c>
      <c r="ALG4" s="2"/>
      <c r="ALH4" s="2"/>
      <c r="ALI4" s="2"/>
      <c r="ALJ4" s="2"/>
      <c r="ALK4" s="2"/>
      <c r="ALL4" s="2"/>
      <c r="ALM4" s="2"/>
      <c r="ALN4" s="2"/>
      <c r="ALQ4" s="2"/>
      <c r="ALR4" s="2"/>
      <c r="ALS4" s="2"/>
      <c r="ALT4" s="2"/>
      <c r="ALU4" s="2"/>
      <c r="ALV4" s="2"/>
      <c r="ALW4" s="2"/>
      <c r="ALY4" s="2"/>
      <c r="ALZ4" s="2"/>
      <c r="AMA4" s="2"/>
      <c r="AMB4" s="2"/>
      <c r="AMC4" s="2"/>
      <c r="AMF4" s="2"/>
      <c r="AMH4" s="2"/>
      <c r="AMI4" s="2"/>
      <c r="AMJ4" s="2"/>
      <c r="AMK4" s="2"/>
      <c r="AML4" s="2"/>
      <c r="AMM4" s="2"/>
      <c r="AMO4" s="2"/>
      <c r="ANS4" s="2"/>
      <c r="ANT4" s="2"/>
      <c r="ANU4" s="2"/>
      <c r="ANV4" s="2"/>
      <c r="ANW4" s="2"/>
      <c r="ANX4" s="2"/>
      <c r="ANY4" s="2"/>
      <c r="ANZ4" s="2"/>
      <c r="AOH4" s="2"/>
      <c r="AOI4" s="2"/>
      <c r="AOJ4" s="2"/>
      <c r="AOK4" s="2"/>
      <c r="AOL4" s="2"/>
      <c r="AOM4" s="2"/>
      <c r="AON4" s="2"/>
      <c r="AOO4" s="2"/>
      <c r="APS4" s="2"/>
      <c r="APT4" s="2"/>
      <c r="APU4" s="2"/>
      <c r="APV4" s="2"/>
      <c r="APW4" s="2"/>
      <c r="APX4" s="2"/>
      <c r="AQV4" s="2"/>
      <c r="AQZ4" s="2"/>
      <c r="ARA4" s="2"/>
      <c r="ARB4" s="2"/>
      <c r="ARC4" s="2"/>
      <c r="ARD4" s="2"/>
      <c r="ARE4" s="2"/>
      <c r="ARF4" s="2"/>
      <c r="ARG4" s="2"/>
      <c r="ARH4" s="2"/>
      <c r="ARI4" s="2"/>
      <c r="ARJ4" s="2"/>
      <c r="ARK4" s="2"/>
      <c r="ARN4" s="2"/>
      <c r="ARO4" s="2"/>
      <c r="ARP4" s="2"/>
      <c r="ARQ4" s="2"/>
      <c r="ARR4" s="2"/>
      <c r="ARS4" s="2"/>
      <c r="ART4" s="2"/>
      <c r="ARX4" s="2"/>
      <c r="ARY4" s="2"/>
      <c r="ARZ4" s="2"/>
      <c r="ASA4" s="2"/>
      <c r="ASB4" s="2"/>
      <c r="ASC4" s="2"/>
      <c r="ASD4" s="2"/>
      <c r="ASG4" s="2"/>
      <c r="ASH4" s="2"/>
      <c r="ASI4" s="2"/>
      <c r="ASJ4" s="2"/>
      <c r="ASK4" s="2"/>
      <c r="ASN4" s="2"/>
      <c r="ASO4" s="2"/>
      <c r="ASP4" s="2"/>
      <c r="ASQ4" s="2"/>
      <c r="ASR4" s="2"/>
      <c r="ASS4" s="2"/>
      <c r="AST4" s="2"/>
      <c r="ASU4" s="2"/>
      <c r="ASV4" s="2"/>
      <c r="ASW4" s="2"/>
      <c r="ASX4" s="2"/>
      <c r="ASY4" s="2"/>
      <c r="ASZ4" s="2"/>
      <c r="ATC4" s="2"/>
      <c r="ATD4" s="2"/>
      <c r="ATE4" s="2"/>
      <c r="ATF4" s="2"/>
      <c r="ATG4" s="2"/>
      <c r="ATH4" s="2"/>
      <c r="ATI4" s="2"/>
      <c r="ATJ4" s="2"/>
      <c r="ATK4" s="2"/>
      <c r="ATL4" s="2"/>
      <c r="ATM4" s="2"/>
      <c r="ATN4" s="2"/>
      <c r="ATO4" s="2"/>
      <c r="ATP4" s="2"/>
      <c r="ATQ4" s="2"/>
      <c r="ATR4" s="2"/>
      <c r="ATS4" s="2"/>
      <c r="AUZ4" s="2"/>
      <c r="AVA4" s="2"/>
      <c r="AVB4" s="2"/>
      <c r="AVC4" s="2"/>
      <c r="AVD4" s="2"/>
      <c r="AVE4" s="2"/>
      <c r="AVF4" s="2"/>
      <c r="AVG4" s="2"/>
      <c r="AVH4" s="2"/>
      <c r="AVT4" s="1">
        <v>136582612</v>
      </c>
      <c r="AVU4" s="1" t="s">
        <v>2364</v>
      </c>
      <c r="AVW4" s="1">
        <v>244</v>
      </c>
    </row>
    <row r="5" spans="1:1271" x14ac:dyDescent="0.3">
      <c r="A5" s="1" t="s">
        <v>2365</v>
      </c>
      <c r="B5" s="1" t="s">
        <v>2366</v>
      </c>
      <c r="C5" s="1" t="s">
        <v>2367</v>
      </c>
      <c r="D5" s="1" t="s">
        <v>2345</v>
      </c>
      <c r="E5" s="1">
        <v>356676102907869</v>
      </c>
      <c r="F5" s="1" t="s">
        <v>2345</v>
      </c>
      <c r="H5" s="2"/>
      <c r="I5" s="1" t="s">
        <v>1659</v>
      </c>
      <c r="J5" s="1" t="s">
        <v>2346</v>
      </c>
      <c r="K5" s="1" t="s">
        <v>2346</v>
      </c>
      <c r="N5" s="1" t="s">
        <v>1153</v>
      </c>
      <c r="O5" s="2">
        <v>1</v>
      </c>
      <c r="P5" s="2">
        <v>0</v>
      </c>
      <c r="Q5" s="2">
        <v>0</v>
      </c>
      <c r="R5" s="2">
        <v>0</v>
      </c>
      <c r="S5" s="2">
        <v>0</v>
      </c>
      <c r="U5" s="1" t="s">
        <v>2259</v>
      </c>
      <c r="W5" s="1" t="s">
        <v>1156</v>
      </c>
      <c r="X5" s="1" t="s">
        <v>1156</v>
      </c>
      <c r="AN5" s="1" t="s">
        <v>1182</v>
      </c>
      <c r="AO5" s="1">
        <v>36</v>
      </c>
      <c r="AP5" s="1" t="s">
        <v>2145</v>
      </c>
      <c r="AR5" s="1" t="s">
        <v>1801</v>
      </c>
      <c r="AS5" s="1" t="s">
        <v>1841</v>
      </c>
      <c r="AT5" s="1" t="s">
        <v>1155</v>
      </c>
      <c r="BO5" s="1" t="s">
        <v>2756</v>
      </c>
      <c r="BP5" s="1">
        <v>0</v>
      </c>
      <c r="BQ5" s="1">
        <v>0</v>
      </c>
      <c r="BR5" s="1">
        <v>0</v>
      </c>
      <c r="BS5" s="1">
        <v>0</v>
      </c>
      <c r="BT5" s="1">
        <v>0</v>
      </c>
      <c r="BU5" s="1">
        <v>0</v>
      </c>
      <c r="BV5" s="1">
        <v>0</v>
      </c>
      <c r="BW5" s="1">
        <v>0</v>
      </c>
      <c r="BX5" s="1">
        <v>0</v>
      </c>
      <c r="BY5" s="1">
        <v>0</v>
      </c>
      <c r="BZ5" s="1">
        <v>1</v>
      </c>
      <c r="CA5" s="1">
        <v>0</v>
      </c>
      <c r="CB5" s="1" t="s">
        <v>2368</v>
      </c>
      <c r="CC5" s="1" t="s">
        <v>1155</v>
      </c>
      <c r="DQ5" s="1" t="s">
        <v>1162</v>
      </c>
      <c r="DR5" s="2">
        <v>0</v>
      </c>
      <c r="DS5" s="2">
        <v>0</v>
      </c>
      <c r="DT5" s="2">
        <v>1</v>
      </c>
      <c r="DU5" s="2">
        <v>0</v>
      </c>
      <c r="DV5" s="2">
        <v>0</v>
      </c>
      <c r="DX5" s="1" t="s">
        <v>2369</v>
      </c>
      <c r="DY5" s="2">
        <v>0</v>
      </c>
      <c r="DZ5" s="2">
        <v>0</v>
      </c>
      <c r="EA5" s="2">
        <v>0</v>
      </c>
      <c r="EB5" s="2">
        <v>0</v>
      </c>
      <c r="EC5" s="2">
        <v>0</v>
      </c>
      <c r="ED5" s="2">
        <v>0</v>
      </c>
      <c r="EE5" s="2">
        <v>0</v>
      </c>
      <c r="EF5" s="2">
        <v>0</v>
      </c>
      <c r="EG5" s="2">
        <v>1</v>
      </c>
      <c r="EH5" s="2">
        <v>0</v>
      </c>
      <c r="EI5" s="2">
        <v>0</v>
      </c>
      <c r="EJ5" s="2">
        <v>0</v>
      </c>
      <c r="EK5" s="2">
        <v>0</v>
      </c>
      <c r="EM5" s="1" t="s">
        <v>1194</v>
      </c>
      <c r="EN5" s="2">
        <v>0</v>
      </c>
      <c r="EO5" s="2">
        <v>0</v>
      </c>
      <c r="EP5" s="2">
        <v>0</v>
      </c>
      <c r="EQ5" s="2">
        <v>0</v>
      </c>
      <c r="ER5" s="2">
        <v>1</v>
      </c>
      <c r="ES5" s="2">
        <v>0</v>
      </c>
      <c r="ET5" s="2">
        <v>0</v>
      </c>
      <c r="EU5" s="2">
        <v>0</v>
      </c>
      <c r="EV5" s="2">
        <v>0</v>
      </c>
      <c r="EW5" s="2">
        <v>0</v>
      </c>
      <c r="EX5" s="2">
        <v>0</v>
      </c>
      <c r="EY5" s="2">
        <v>0</v>
      </c>
      <c r="EZ5" s="2">
        <v>0</v>
      </c>
      <c r="FB5" s="1" t="s">
        <v>1155</v>
      </c>
      <c r="GI5" s="1" t="s">
        <v>2370</v>
      </c>
      <c r="GJ5" s="2">
        <v>0</v>
      </c>
      <c r="GK5" s="2">
        <v>0</v>
      </c>
      <c r="GL5" s="2">
        <v>0</v>
      </c>
      <c r="GM5" s="2">
        <v>0</v>
      </c>
      <c r="GN5" s="2">
        <v>0</v>
      </c>
      <c r="GO5" s="2">
        <v>0</v>
      </c>
      <c r="GP5" s="2">
        <v>1</v>
      </c>
      <c r="GQ5" s="2">
        <v>0</v>
      </c>
      <c r="GR5" s="2">
        <v>0</v>
      </c>
      <c r="GS5" s="2">
        <v>0</v>
      </c>
      <c r="GT5" s="2">
        <v>0</v>
      </c>
      <c r="GU5" s="2">
        <v>0</v>
      </c>
      <c r="GV5" s="2">
        <v>0</v>
      </c>
      <c r="PW5" s="2"/>
      <c r="PX5" s="2"/>
      <c r="PY5" s="2"/>
      <c r="PZ5" s="2"/>
      <c r="QA5" s="2"/>
      <c r="QB5" s="2"/>
      <c r="QC5" s="2"/>
      <c r="QD5" s="2"/>
      <c r="QE5" s="2"/>
      <c r="QF5" s="2"/>
      <c r="QG5" s="2"/>
      <c r="QH5" s="2"/>
      <c r="QI5" s="2"/>
      <c r="QJ5" s="2"/>
      <c r="QN5" s="2"/>
      <c r="QO5" s="2"/>
      <c r="QP5" s="2"/>
      <c r="QQ5" s="2"/>
      <c r="QR5" s="2"/>
      <c r="QS5" s="2"/>
      <c r="RC5" s="2"/>
      <c r="RG5" s="2"/>
      <c r="RH5" s="2"/>
      <c r="RI5" s="2"/>
      <c r="RJ5" s="2"/>
      <c r="RK5" s="2"/>
      <c r="RL5" s="2"/>
      <c r="RM5" s="2"/>
      <c r="RN5" s="2"/>
      <c r="RO5" s="2"/>
      <c r="RP5" s="2"/>
      <c r="SB5" s="2"/>
      <c r="SC5" s="2"/>
      <c r="SD5" s="2"/>
      <c r="SE5" s="2"/>
      <c r="SF5" s="2"/>
      <c r="SG5" s="2"/>
      <c r="SH5" s="2"/>
      <c r="SI5" s="2"/>
      <c r="SK5" s="2"/>
      <c r="SL5" s="2"/>
      <c r="SM5" s="2"/>
      <c r="SN5" s="2"/>
      <c r="SO5" s="2"/>
      <c r="SP5" s="2"/>
      <c r="SQ5" s="2"/>
      <c r="SR5" s="2"/>
      <c r="SS5" s="2"/>
      <c r="ST5" s="2"/>
      <c r="SU5" s="2"/>
      <c r="SV5" s="2"/>
      <c r="SZ5" s="2"/>
      <c r="TA5" s="2"/>
      <c r="TB5" s="2"/>
      <c r="TC5" s="2"/>
      <c r="UC5" s="2"/>
      <c r="UD5" s="2"/>
      <c r="UE5" s="2"/>
      <c r="UF5" s="2"/>
      <c r="UG5" s="2"/>
      <c r="UM5" s="2"/>
      <c r="UN5" s="2"/>
      <c r="UO5" s="2"/>
      <c r="UP5" s="2"/>
      <c r="UQ5" s="2"/>
      <c r="UR5" s="2"/>
      <c r="US5" s="2"/>
      <c r="UT5" s="2"/>
      <c r="UU5" s="2"/>
      <c r="UV5" s="2"/>
      <c r="UW5" s="2"/>
      <c r="UX5" s="2"/>
      <c r="UY5" s="2"/>
      <c r="UZ5" s="2"/>
      <c r="VA5" s="2"/>
      <c r="VB5" s="2"/>
      <c r="VE5" s="2"/>
      <c r="VF5" s="2"/>
      <c r="VG5" s="2"/>
      <c r="VH5" s="2"/>
      <c r="VI5" s="2"/>
      <c r="VJ5" s="2"/>
      <c r="VK5" s="2"/>
      <c r="VL5" s="2"/>
      <c r="VM5" s="2"/>
      <c r="VN5" s="2"/>
      <c r="VO5" s="2"/>
      <c r="VP5" s="2"/>
      <c r="VQ5" s="2"/>
      <c r="VU5" s="2"/>
      <c r="VV5" s="2"/>
      <c r="VW5" s="2"/>
      <c r="VX5" s="2"/>
      <c r="VY5" s="2"/>
      <c r="VZ5" s="2"/>
      <c r="WA5" s="2"/>
      <c r="WD5" s="2"/>
      <c r="WE5" s="2"/>
      <c r="WF5" s="2"/>
      <c r="WG5" s="2"/>
      <c r="WH5" s="2"/>
      <c r="WI5" s="2"/>
      <c r="WJ5" s="2"/>
      <c r="WK5" s="2"/>
      <c r="WL5" s="2"/>
      <c r="WM5" s="2"/>
      <c r="WN5" s="2"/>
      <c r="WO5" s="2"/>
      <c r="WP5" s="2"/>
      <c r="XA5" s="2"/>
      <c r="XB5" s="2"/>
      <c r="XC5" s="2"/>
      <c r="XD5" s="2"/>
      <c r="XE5" s="2"/>
      <c r="XF5" s="2"/>
      <c r="XG5" s="2"/>
      <c r="XH5" s="2"/>
      <c r="XI5" s="2"/>
      <c r="XJ5" s="2"/>
      <c r="XK5" s="2"/>
      <c r="XL5" s="2"/>
      <c r="XM5" s="2"/>
      <c r="XR5" s="2"/>
      <c r="XS5" s="2"/>
      <c r="XT5" s="2"/>
      <c r="XU5" s="2"/>
      <c r="XV5" s="2"/>
      <c r="XW5" s="2"/>
      <c r="XX5" s="2"/>
      <c r="XY5" s="2"/>
      <c r="YF5" s="2"/>
      <c r="YG5" s="2"/>
      <c r="YH5" s="2"/>
      <c r="YI5" s="2"/>
      <c r="YJ5" s="2"/>
      <c r="YK5" s="2"/>
      <c r="YL5" s="2"/>
      <c r="YM5" s="2"/>
      <c r="YX5" s="2"/>
      <c r="ZD5" s="2"/>
      <c r="ZL5" s="2"/>
      <c r="AVT5" s="1">
        <v>136582783</v>
      </c>
      <c r="AVU5" s="1" t="s">
        <v>2371</v>
      </c>
      <c r="AVW5" s="1">
        <v>245</v>
      </c>
    </row>
    <row r="6" spans="1:1271" x14ac:dyDescent="0.3">
      <c r="A6" s="1" t="s">
        <v>2372</v>
      </c>
      <c r="B6" s="1" t="s">
        <v>2373</v>
      </c>
      <c r="C6" s="1" t="s">
        <v>2374</v>
      </c>
      <c r="D6" s="1" t="s">
        <v>2375</v>
      </c>
      <c r="E6" s="1">
        <v>356676102903926</v>
      </c>
      <c r="F6" s="1" t="s">
        <v>2345</v>
      </c>
      <c r="H6" s="2"/>
      <c r="I6" s="1" t="s">
        <v>1659</v>
      </c>
      <c r="J6" s="1" t="s">
        <v>2346</v>
      </c>
      <c r="K6" s="1" t="s">
        <v>2346</v>
      </c>
      <c r="N6" s="1" t="s">
        <v>1153</v>
      </c>
      <c r="O6" s="2">
        <v>1</v>
      </c>
      <c r="P6" s="2">
        <v>0</v>
      </c>
      <c r="Q6" s="2">
        <v>0</v>
      </c>
      <c r="R6" s="2">
        <v>0</v>
      </c>
      <c r="S6" s="2">
        <v>0</v>
      </c>
      <c r="U6" s="1" t="s">
        <v>2259</v>
      </c>
      <c r="W6" s="1" t="s">
        <v>1156</v>
      </c>
      <c r="X6" s="1" t="s">
        <v>1156</v>
      </c>
      <c r="AM6" s="2"/>
      <c r="AN6" s="1" t="s">
        <v>1182</v>
      </c>
      <c r="AO6" s="1">
        <v>15</v>
      </c>
      <c r="AP6" s="1" t="s">
        <v>1196</v>
      </c>
      <c r="AR6" s="1" t="s">
        <v>1801</v>
      </c>
      <c r="AS6" s="1" t="s">
        <v>1164</v>
      </c>
      <c r="AT6" s="1" t="s">
        <v>1156</v>
      </c>
      <c r="AU6" s="2" t="s">
        <v>1161</v>
      </c>
      <c r="AV6" s="2"/>
      <c r="AW6" s="2"/>
      <c r="AX6" s="2"/>
      <c r="AY6" s="2"/>
      <c r="AZ6" s="2"/>
      <c r="BA6" s="2"/>
      <c r="BB6" s="2"/>
      <c r="BF6" s="1" t="s">
        <v>1193</v>
      </c>
      <c r="BG6" s="1">
        <v>0</v>
      </c>
      <c r="BH6" s="1">
        <v>1</v>
      </c>
      <c r="BI6" s="1">
        <v>0</v>
      </c>
      <c r="BJ6" s="1">
        <v>0</v>
      </c>
      <c r="BK6" s="1">
        <v>0</v>
      </c>
      <c r="BL6" s="1">
        <v>0</v>
      </c>
      <c r="BM6" s="1">
        <v>0</v>
      </c>
      <c r="BN6" s="2"/>
      <c r="BO6" s="2" t="s">
        <v>1765</v>
      </c>
      <c r="BP6" s="2">
        <v>0</v>
      </c>
      <c r="BQ6" s="2">
        <v>0</v>
      </c>
      <c r="BR6" s="2">
        <v>0</v>
      </c>
      <c r="BS6" s="2">
        <v>0</v>
      </c>
      <c r="BT6" s="2">
        <v>0</v>
      </c>
      <c r="BU6" s="2">
        <v>0</v>
      </c>
      <c r="BV6" s="2">
        <v>0</v>
      </c>
      <c r="BW6" s="2">
        <v>0</v>
      </c>
      <c r="BX6" s="2">
        <v>0</v>
      </c>
      <c r="BY6" s="2">
        <v>1</v>
      </c>
      <c r="BZ6" s="1">
        <v>0</v>
      </c>
      <c r="CA6" s="1">
        <v>0</v>
      </c>
      <c r="CC6" s="1" t="s">
        <v>1155</v>
      </c>
      <c r="DP6" s="2"/>
      <c r="DQ6" s="2" t="s">
        <v>1397</v>
      </c>
      <c r="DR6" s="2">
        <v>1</v>
      </c>
      <c r="DS6" s="2">
        <v>0</v>
      </c>
      <c r="DT6" s="2">
        <v>0</v>
      </c>
      <c r="DU6" s="2">
        <v>0</v>
      </c>
      <c r="DV6" s="2">
        <v>0</v>
      </c>
      <c r="DW6" s="2"/>
      <c r="DX6" s="2" t="s">
        <v>2376</v>
      </c>
      <c r="DY6" s="2">
        <v>0</v>
      </c>
      <c r="DZ6" s="2">
        <v>1</v>
      </c>
      <c r="EA6" s="2">
        <v>0</v>
      </c>
      <c r="EB6" s="2">
        <v>0</v>
      </c>
      <c r="EC6" s="2">
        <v>0</v>
      </c>
      <c r="ED6" s="2">
        <v>0</v>
      </c>
      <c r="EE6" s="2">
        <v>0</v>
      </c>
      <c r="EF6" s="2">
        <v>0</v>
      </c>
      <c r="EG6" s="2">
        <v>0</v>
      </c>
      <c r="EH6" s="2">
        <v>0</v>
      </c>
      <c r="EI6" s="2">
        <v>0</v>
      </c>
      <c r="EJ6" s="2">
        <v>0</v>
      </c>
      <c r="EK6" s="2">
        <v>0</v>
      </c>
      <c r="EL6" s="2"/>
      <c r="EM6" s="2" t="s">
        <v>2377</v>
      </c>
      <c r="EN6" s="2">
        <v>0</v>
      </c>
      <c r="EO6" s="2">
        <v>0</v>
      </c>
      <c r="EP6" s="2">
        <v>0</v>
      </c>
      <c r="EQ6" s="2">
        <v>0</v>
      </c>
      <c r="ER6" s="2">
        <v>0</v>
      </c>
      <c r="ES6" s="2">
        <v>1</v>
      </c>
      <c r="ET6" s="2">
        <v>0</v>
      </c>
      <c r="EU6" s="2">
        <v>0</v>
      </c>
      <c r="EV6" s="2">
        <v>0</v>
      </c>
      <c r="EW6" s="2">
        <v>0</v>
      </c>
      <c r="EX6" s="2">
        <v>0</v>
      </c>
      <c r="EY6" s="2">
        <v>0</v>
      </c>
      <c r="EZ6" s="2">
        <v>0</v>
      </c>
      <c r="FB6" s="2" t="s">
        <v>1155</v>
      </c>
      <c r="FC6" s="2"/>
      <c r="FD6" s="2"/>
      <c r="FE6" s="2"/>
      <c r="FF6" s="2"/>
      <c r="FG6" s="2"/>
      <c r="FH6" s="2"/>
      <c r="FK6" s="2"/>
      <c r="FL6" s="2"/>
      <c r="FM6" s="2"/>
      <c r="FN6" s="2"/>
      <c r="FO6" s="2"/>
      <c r="FP6" s="2"/>
      <c r="FQ6" s="2"/>
      <c r="FR6" s="2"/>
      <c r="FS6" s="2"/>
      <c r="FT6" s="2"/>
      <c r="FU6" s="2"/>
      <c r="FV6" s="2"/>
      <c r="FW6" s="2"/>
      <c r="GA6" s="2"/>
      <c r="GB6" s="2"/>
      <c r="GC6" s="2"/>
      <c r="GD6" s="2"/>
      <c r="GE6" s="2"/>
      <c r="GH6" s="2"/>
      <c r="GI6" s="2" t="s">
        <v>1197</v>
      </c>
      <c r="GJ6" s="2">
        <v>0</v>
      </c>
      <c r="GK6" s="2">
        <v>1</v>
      </c>
      <c r="GL6" s="2">
        <v>0</v>
      </c>
      <c r="GM6" s="2">
        <v>0</v>
      </c>
      <c r="GN6" s="2">
        <v>0</v>
      </c>
      <c r="GO6" s="2">
        <v>0</v>
      </c>
      <c r="GP6" s="2">
        <v>0</v>
      </c>
      <c r="GQ6" s="2">
        <v>0</v>
      </c>
      <c r="GR6" s="2">
        <v>0</v>
      </c>
      <c r="GS6" s="2">
        <v>0</v>
      </c>
      <c r="GT6" s="2">
        <v>0</v>
      </c>
      <c r="GU6" s="2">
        <v>0</v>
      </c>
      <c r="GV6" s="2">
        <v>0</v>
      </c>
      <c r="AVT6" s="1">
        <v>136583633</v>
      </c>
      <c r="AVU6" s="1" t="s">
        <v>2378</v>
      </c>
      <c r="AVW6" s="1">
        <v>246</v>
      </c>
    </row>
    <row r="7" spans="1:1271" x14ac:dyDescent="0.3">
      <c r="A7" s="1" t="s">
        <v>2379</v>
      </c>
      <c r="B7" s="1" t="s">
        <v>2380</v>
      </c>
      <c r="C7" s="1" t="s">
        <v>2381</v>
      </c>
      <c r="D7" s="1" t="s">
        <v>2345</v>
      </c>
      <c r="E7" s="1">
        <v>356676102908909</v>
      </c>
      <c r="F7" s="1" t="s">
        <v>2345</v>
      </c>
      <c r="H7" s="2"/>
      <c r="I7" s="1" t="s">
        <v>1659</v>
      </c>
      <c r="J7" s="1" t="s">
        <v>2346</v>
      </c>
      <c r="K7" s="1" t="s">
        <v>2346</v>
      </c>
      <c r="N7" s="1" t="s">
        <v>1160</v>
      </c>
      <c r="O7" s="2">
        <v>0</v>
      </c>
      <c r="P7" s="2">
        <v>0</v>
      </c>
      <c r="Q7" s="2">
        <v>0</v>
      </c>
      <c r="R7" s="2">
        <v>0</v>
      </c>
      <c r="S7" s="2">
        <v>1</v>
      </c>
      <c r="AAZ7" s="2"/>
      <c r="ABA7" s="2"/>
      <c r="ABB7" s="2"/>
      <c r="ABC7" s="2"/>
      <c r="ABD7" s="2"/>
      <c r="ABG7" s="2"/>
      <c r="ABH7" s="2"/>
      <c r="ABI7" s="2"/>
      <c r="ABJ7" s="2"/>
      <c r="ABK7" s="2"/>
      <c r="ABL7" s="2"/>
      <c r="ABM7" s="2"/>
      <c r="ABN7" s="2"/>
      <c r="ABO7" s="2"/>
      <c r="ABP7" s="2"/>
      <c r="ABQ7" s="2"/>
      <c r="ABR7" s="2"/>
      <c r="ABT7" s="2"/>
      <c r="ABV7" s="2"/>
      <c r="ABX7" s="2"/>
      <c r="ABY7" s="2"/>
      <c r="ABZ7" s="2"/>
      <c r="ACA7" s="2"/>
      <c r="ACH7" s="2"/>
      <c r="ACI7" s="2"/>
      <c r="ACJ7" s="2"/>
      <c r="ACK7" s="2"/>
      <c r="ACL7" s="2"/>
      <c r="ACN7" s="2"/>
      <c r="ACO7" s="2"/>
      <c r="ACS7" s="2"/>
      <c r="ACT7" s="2"/>
      <c r="ACU7" s="2"/>
      <c r="ACV7" s="2"/>
      <c r="ACW7" s="2"/>
      <c r="ACX7" s="2"/>
      <c r="ACY7" s="2"/>
      <c r="ADK7" s="2"/>
      <c r="ADL7" s="2"/>
      <c r="ADM7" s="2"/>
      <c r="ADN7" s="2"/>
      <c r="ADO7" s="2"/>
      <c r="AEI7" s="2"/>
      <c r="AEJ7" s="2"/>
      <c r="AEK7" s="2"/>
      <c r="AEL7" s="2"/>
      <c r="AEM7" s="2"/>
      <c r="AFF7" s="2"/>
      <c r="AFG7" s="2"/>
      <c r="AFH7" s="2"/>
      <c r="AFI7" s="2"/>
      <c r="AFJ7" s="2"/>
      <c r="AFO7" s="2"/>
      <c r="AFP7" s="2"/>
      <c r="AFQ7" s="2"/>
      <c r="AFR7" s="2"/>
      <c r="AFS7" s="2"/>
      <c r="AHL7" s="2"/>
      <c r="AHM7" s="2"/>
      <c r="AHN7" s="2"/>
      <c r="AHO7" s="2"/>
      <c r="AHP7" s="2"/>
      <c r="AHS7" s="2"/>
      <c r="AHT7" s="2"/>
      <c r="AHU7" s="2"/>
      <c r="AHV7" s="2"/>
      <c r="AHW7" s="2"/>
      <c r="AHX7" s="2"/>
      <c r="AHY7" s="2"/>
      <c r="AHZ7" s="2"/>
      <c r="AIA7" s="2"/>
      <c r="AIB7" s="2"/>
      <c r="AIC7" s="2"/>
      <c r="AIF7" s="2"/>
      <c r="AIG7" s="2"/>
      <c r="AIH7" s="2"/>
      <c r="AII7" s="2"/>
      <c r="AIJ7" s="2"/>
      <c r="AIK7" s="2"/>
      <c r="AIL7" s="2"/>
      <c r="AIM7" s="2"/>
      <c r="AIN7" s="2"/>
      <c r="AIO7" s="2"/>
      <c r="AIP7" s="2"/>
      <c r="AIQ7" s="2"/>
      <c r="AIR7" s="2"/>
      <c r="AIV7" s="2"/>
      <c r="AIW7" s="2"/>
      <c r="AIX7" s="2"/>
      <c r="AIY7" s="2"/>
      <c r="AIZ7" s="2"/>
      <c r="AJA7" s="2"/>
      <c r="AJB7" s="2"/>
      <c r="AJE7" s="2"/>
      <c r="AJF7" s="2"/>
      <c r="AJG7" s="2"/>
      <c r="AJH7" s="2"/>
      <c r="AJI7" s="2"/>
      <c r="AJJ7" s="2"/>
      <c r="AJK7" s="2"/>
      <c r="AJL7" s="2"/>
      <c r="AJM7" s="2"/>
      <c r="AJN7" s="2"/>
      <c r="AJO7" s="2"/>
      <c r="AJP7" s="2"/>
      <c r="AKA7" s="2"/>
      <c r="AKB7" s="2"/>
      <c r="AKC7" s="2"/>
      <c r="AKD7" s="2"/>
      <c r="AKE7" s="2"/>
      <c r="AKF7" s="2"/>
      <c r="AKG7" s="2"/>
      <c r="AKH7" s="2"/>
      <c r="AKI7" s="2"/>
      <c r="AKJ7" s="2"/>
      <c r="AKK7" s="2"/>
      <c r="AKL7" s="2"/>
      <c r="AKT7" s="1" t="s">
        <v>2842</v>
      </c>
      <c r="AKU7" s="1" t="s">
        <v>1156</v>
      </c>
      <c r="ALF7" s="1" t="s">
        <v>1155</v>
      </c>
      <c r="ALG7" s="1" t="s">
        <v>1156</v>
      </c>
      <c r="ALN7" s="1" t="s">
        <v>2382</v>
      </c>
      <c r="ALO7" s="1">
        <v>1</v>
      </c>
      <c r="ALP7" s="1">
        <v>1</v>
      </c>
      <c r="ALQ7" s="1">
        <v>1</v>
      </c>
      <c r="ALR7" s="1">
        <v>1</v>
      </c>
      <c r="ALS7" s="1">
        <v>1</v>
      </c>
      <c r="ALT7" s="1">
        <v>1</v>
      </c>
      <c r="ALU7" s="1">
        <v>1</v>
      </c>
      <c r="ALV7" s="1">
        <v>0</v>
      </c>
      <c r="ALX7" s="1" t="s">
        <v>1165</v>
      </c>
      <c r="ALY7" s="1">
        <v>1</v>
      </c>
      <c r="ALZ7" s="1">
        <v>1</v>
      </c>
      <c r="AMA7" s="1">
        <v>1</v>
      </c>
      <c r="AMB7" s="1">
        <v>1</v>
      </c>
      <c r="AMC7" s="1">
        <v>1</v>
      </c>
      <c r="AMD7" s="1">
        <v>1</v>
      </c>
      <c r="AME7" s="1">
        <v>1</v>
      </c>
      <c r="AMF7" s="1" t="s">
        <v>2125</v>
      </c>
      <c r="AMG7" s="1">
        <v>0</v>
      </c>
      <c r="AMH7" s="1">
        <v>1</v>
      </c>
      <c r="AMI7" s="1">
        <v>0</v>
      </c>
      <c r="AMJ7" s="1">
        <v>0</v>
      </c>
      <c r="AMK7" s="1">
        <v>0</v>
      </c>
      <c r="AMM7" s="1" t="s">
        <v>1156</v>
      </c>
      <c r="AMN7" s="1">
        <v>1</v>
      </c>
      <c r="AMO7" s="1" t="s">
        <v>1154</v>
      </c>
      <c r="AMP7" s="1">
        <v>0</v>
      </c>
      <c r="AMQ7" s="1">
        <v>0</v>
      </c>
      <c r="AMR7" s="1">
        <v>0</v>
      </c>
      <c r="AMS7" s="1">
        <v>0</v>
      </c>
      <c r="AMT7" s="1">
        <v>0</v>
      </c>
      <c r="AMU7" s="1">
        <v>1</v>
      </c>
      <c r="AMV7" s="1" t="s">
        <v>2383</v>
      </c>
      <c r="AMW7" s="1">
        <v>80</v>
      </c>
      <c r="AMX7" s="1" t="s">
        <v>1156</v>
      </c>
      <c r="AMY7" s="1" t="s">
        <v>1157</v>
      </c>
      <c r="AMZ7" s="1" t="s">
        <v>2384</v>
      </c>
      <c r="ANA7" s="1">
        <v>1</v>
      </c>
      <c r="ANB7" s="1">
        <v>1</v>
      </c>
      <c r="ANC7" s="1">
        <v>1</v>
      </c>
      <c r="AND7" s="1">
        <v>1</v>
      </c>
      <c r="ANE7" s="1">
        <v>1</v>
      </c>
      <c r="ANF7" s="1">
        <v>1</v>
      </c>
      <c r="ANG7" s="1">
        <v>0</v>
      </c>
      <c r="ANH7" s="1">
        <v>0</v>
      </c>
      <c r="ANI7" s="1">
        <v>0</v>
      </c>
      <c r="ANX7" s="1" t="s">
        <v>1156</v>
      </c>
      <c r="ANY7" s="57">
        <v>18</v>
      </c>
      <c r="ANZ7" s="1" t="s">
        <v>2385</v>
      </c>
      <c r="AOA7" s="1">
        <v>1</v>
      </c>
      <c r="AOB7" s="1">
        <v>0</v>
      </c>
      <c r="AOC7" s="1">
        <v>1</v>
      </c>
      <c r="AOD7" s="1">
        <v>1</v>
      </c>
      <c r="AOE7" s="1">
        <v>0</v>
      </c>
      <c r="AOF7" s="1">
        <v>0</v>
      </c>
      <c r="AOG7" s="1">
        <v>0</v>
      </c>
      <c r="AOH7" s="1">
        <v>0</v>
      </c>
      <c r="AOJ7" s="1" t="s">
        <v>2245</v>
      </c>
      <c r="AOL7" s="1" t="s">
        <v>1394</v>
      </c>
      <c r="AOO7" s="1" t="s">
        <v>2386</v>
      </c>
      <c r="AOP7" s="1">
        <v>1</v>
      </c>
      <c r="AOQ7" s="1">
        <v>1</v>
      </c>
      <c r="AOR7" s="1">
        <v>1</v>
      </c>
      <c r="AOS7" s="1">
        <v>0</v>
      </c>
      <c r="AOT7" s="1">
        <v>0</v>
      </c>
      <c r="AOU7" s="1">
        <v>0</v>
      </c>
      <c r="AOV7" s="1">
        <v>0</v>
      </c>
      <c r="AOW7" s="1">
        <v>0</v>
      </c>
      <c r="AOY7" s="1" t="s">
        <v>1167</v>
      </c>
      <c r="APA7" s="63" t="s">
        <v>1168</v>
      </c>
      <c r="APD7" s="1">
        <v>100</v>
      </c>
      <c r="APF7" s="1" t="s">
        <v>1156</v>
      </c>
      <c r="APG7" s="1" t="s">
        <v>1186</v>
      </c>
      <c r="APH7" s="1" t="s">
        <v>2387</v>
      </c>
      <c r="API7" s="1">
        <v>1</v>
      </c>
      <c r="APJ7" s="1">
        <v>0</v>
      </c>
      <c r="APK7" s="1">
        <v>1</v>
      </c>
      <c r="APL7" s="1">
        <v>0</v>
      </c>
      <c r="APM7" s="1">
        <v>1</v>
      </c>
      <c r="APN7" s="1">
        <v>0</v>
      </c>
      <c r="APO7" s="1">
        <v>0</v>
      </c>
      <c r="APZ7" s="1" t="s">
        <v>2388</v>
      </c>
      <c r="AQA7" s="1">
        <v>0</v>
      </c>
      <c r="AQB7" s="1">
        <v>1</v>
      </c>
      <c r="AQC7" s="1">
        <v>0</v>
      </c>
      <c r="AQD7" s="1">
        <v>0</v>
      </c>
      <c r="AQE7" s="1">
        <v>0</v>
      </c>
      <c r="AQF7" s="1">
        <v>0</v>
      </c>
      <c r="AQL7" s="1" t="s">
        <v>2389</v>
      </c>
      <c r="AQN7" s="1">
        <v>100</v>
      </c>
      <c r="AQO7" s="1" t="s">
        <v>1532</v>
      </c>
      <c r="ARG7" s="1" t="s">
        <v>1163</v>
      </c>
      <c r="ARH7" s="1">
        <v>0</v>
      </c>
      <c r="ARI7" s="1">
        <v>1</v>
      </c>
      <c r="ARJ7" s="1">
        <v>0</v>
      </c>
      <c r="ARK7" s="1">
        <v>0</v>
      </c>
      <c r="ARL7" s="1">
        <v>0</v>
      </c>
      <c r="ARM7" s="1">
        <v>0</v>
      </c>
      <c r="ARN7" s="1">
        <v>0</v>
      </c>
      <c r="ARO7" s="1">
        <v>0</v>
      </c>
      <c r="ARP7" s="1">
        <v>0</v>
      </c>
      <c r="ARQ7" s="1">
        <v>0</v>
      </c>
      <c r="ARR7" s="1">
        <v>0</v>
      </c>
      <c r="ARS7" s="1">
        <v>0</v>
      </c>
      <c r="ARU7" s="1" t="s">
        <v>1164</v>
      </c>
      <c r="ARV7" s="1">
        <v>0</v>
      </c>
      <c r="ARW7" s="1">
        <v>0</v>
      </c>
      <c r="ARX7" s="1">
        <v>0</v>
      </c>
      <c r="ARY7" s="1">
        <v>0</v>
      </c>
      <c r="ARZ7" s="1">
        <v>1</v>
      </c>
      <c r="ASA7" s="1">
        <v>0</v>
      </c>
      <c r="ASB7" s="1">
        <v>0</v>
      </c>
      <c r="ASD7" s="1" t="s">
        <v>1155</v>
      </c>
      <c r="ASN7" s="1" t="s">
        <v>1164</v>
      </c>
      <c r="ASO7" s="1">
        <v>0</v>
      </c>
      <c r="ASP7" s="1">
        <v>0</v>
      </c>
      <c r="ASQ7" s="1">
        <v>0</v>
      </c>
      <c r="ASR7" s="1">
        <v>0</v>
      </c>
      <c r="ASS7" s="1">
        <v>1</v>
      </c>
      <c r="ASU7" s="1" t="s">
        <v>1194</v>
      </c>
      <c r="ASV7" s="1">
        <v>0</v>
      </c>
      <c r="ASW7" s="1">
        <v>0</v>
      </c>
      <c r="ASX7" s="1">
        <v>0</v>
      </c>
      <c r="ASY7" s="1">
        <v>0</v>
      </c>
      <c r="ASZ7" s="1">
        <v>1</v>
      </c>
      <c r="ATA7" s="1">
        <v>0</v>
      </c>
      <c r="ATB7" s="1">
        <v>0</v>
      </c>
      <c r="ATC7" s="1">
        <v>0</v>
      </c>
      <c r="ATD7" s="1">
        <v>0</v>
      </c>
      <c r="ATE7" s="1">
        <v>0</v>
      </c>
      <c r="ATF7" s="1">
        <v>0</v>
      </c>
      <c r="ATG7" s="1">
        <v>0</v>
      </c>
      <c r="ATH7" s="1">
        <v>0</v>
      </c>
      <c r="ATJ7" s="1" t="s">
        <v>2390</v>
      </c>
      <c r="ATK7" s="1">
        <v>1</v>
      </c>
      <c r="ATL7" s="1">
        <v>1</v>
      </c>
      <c r="ATM7" s="1">
        <v>1</v>
      </c>
      <c r="ATN7" s="1">
        <v>1</v>
      </c>
      <c r="ATO7" s="1">
        <v>1</v>
      </c>
      <c r="ATP7" s="1">
        <v>1</v>
      </c>
      <c r="ATQ7" s="1">
        <v>0</v>
      </c>
      <c r="ATR7" s="1">
        <v>0</v>
      </c>
      <c r="ATS7" s="1">
        <v>0</v>
      </c>
      <c r="ATT7" s="1">
        <v>0</v>
      </c>
      <c r="ATU7" s="1">
        <v>0</v>
      </c>
      <c r="ATV7" s="1">
        <v>0</v>
      </c>
      <c r="ATW7" s="1">
        <v>0</v>
      </c>
      <c r="ATX7" s="1">
        <v>1</v>
      </c>
      <c r="ATY7" s="1">
        <v>0</v>
      </c>
      <c r="ATZ7" s="1">
        <v>0</v>
      </c>
      <c r="AUA7" s="1">
        <v>0</v>
      </c>
      <c r="AUC7" s="1" t="s">
        <v>1155</v>
      </c>
      <c r="AVG7" s="1" t="s">
        <v>2391</v>
      </c>
      <c r="AVH7" s="1">
        <v>0</v>
      </c>
      <c r="AVI7" s="1">
        <v>0</v>
      </c>
      <c r="AVJ7" s="1">
        <v>1</v>
      </c>
      <c r="AVK7" s="1">
        <v>0</v>
      </c>
      <c r="AVL7" s="1">
        <v>1</v>
      </c>
      <c r="AVM7" s="1">
        <v>0</v>
      </c>
      <c r="AVN7" s="1">
        <v>1</v>
      </c>
      <c r="AVO7" s="1">
        <v>0</v>
      </c>
      <c r="AVP7" s="1">
        <v>0</v>
      </c>
      <c r="AVT7" s="1">
        <v>136583649</v>
      </c>
      <c r="AVU7" s="1" t="s">
        <v>2392</v>
      </c>
      <c r="AVW7" s="1">
        <v>247</v>
      </c>
    </row>
    <row r="8" spans="1:1271" x14ac:dyDescent="0.3">
      <c r="A8" s="1" t="s">
        <v>2393</v>
      </c>
      <c r="B8" s="1" t="s">
        <v>2394</v>
      </c>
      <c r="C8" s="1" t="s">
        <v>2395</v>
      </c>
      <c r="D8" s="1" t="s">
        <v>2345</v>
      </c>
      <c r="E8" s="1">
        <v>356676102907869</v>
      </c>
      <c r="F8" s="1" t="s">
        <v>2345</v>
      </c>
      <c r="H8" s="2"/>
      <c r="I8" s="1" t="s">
        <v>1659</v>
      </c>
      <c r="J8" s="1" t="s">
        <v>2346</v>
      </c>
      <c r="K8" s="1" t="s">
        <v>2346</v>
      </c>
      <c r="N8" s="1" t="s">
        <v>1153</v>
      </c>
      <c r="O8" s="2">
        <v>1</v>
      </c>
      <c r="P8" s="2">
        <v>0</v>
      </c>
      <c r="Q8" s="2">
        <v>0</v>
      </c>
      <c r="R8" s="2">
        <v>0</v>
      </c>
      <c r="S8" s="2">
        <v>0</v>
      </c>
      <c r="U8" s="1" t="s">
        <v>1840</v>
      </c>
      <c r="W8" s="1" t="s">
        <v>1156</v>
      </c>
      <c r="X8" s="1" t="s">
        <v>1708</v>
      </c>
      <c r="Y8" s="1" t="s">
        <v>2291</v>
      </c>
      <c r="AA8" s="1" t="s">
        <v>2348</v>
      </c>
      <c r="AM8" s="2"/>
      <c r="AN8" s="1" t="s">
        <v>1182</v>
      </c>
      <c r="AO8" s="1">
        <v>52</v>
      </c>
      <c r="AP8" s="1" t="s">
        <v>2145</v>
      </c>
      <c r="AR8" s="1" t="s">
        <v>1710</v>
      </c>
      <c r="AS8" s="1" t="s">
        <v>1841</v>
      </c>
      <c r="AT8" s="1" t="s">
        <v>1156</v>
      </c>
      <c r="AU8" s="2" t="s">
        <v>1161</v>
      </c>
      <c r="AV8" s="2"/>
      <c r="AW8" s="2"/>
      <c r="AX8" s="2"/>
      <c r="AY8" s="2"/>
      <c r="AZ8" s="2"/>
      <c r="BA8" s="2"/>
      <c r="BB8" s="2"/>
      <c r="BF8" s="1" t="s">
        <v>2757</v>
      </c>
      <c r="BG8" s="1">
        <v>0</v>
      </c>
      <c r="BH8" s="1">
        <v>0</v>
      </c>
      <c r="BI8" s="1">
        <v>0</v>
      </c>
      <c r="BJ8" s="1">
        <v>0</v>
      </c>
      <c r="BK8" s="1">
        <v>1</v>
      </c>
      <c r="BL8" s="1">
        <v>0</v>
      </c>
      <c r="BM8" s="1">
        <v>0</v>
      </c>
      <c r="BN8" s="2"/>
      <c r="BO8" s="2" t="s">
        <v>1158</v>
      </c>
      <c r="BP8" s="2">
        <v>0</v>
      </c>
      <c r="BQ8" s="2">
        <v>0</v>
      </c>
      <c r="BR8" s="2">
        <v>0</v>
      </c>
      <c r="BS8" s="2">
        <v>0</v>
      </c>
      <c r="BT8" s="2">
        <v>0</v>
      </c>
      <c r="BU8" s="2">
        <v>1</v>
      </c>
      <c r="BV8" s="2">
        <v>0</v>
      </c>
      <c r="BW8" s="2">
        <v>0</v>
      </c>
      <c r="BX8" s="2">
        <v>0</v>
      </c>
      <c r="BY8" s="2">
        <v>0</v>
      </c>
      <c r="BZ8" s="1">
        <v>0</v>
      </c>
      <c r="CA8" s="1">
        <v>0</v>
      </c>
      <c r="CB8" s="1" t="s">
        <v>2426</v>
      </c>
      <c r="CC8" s="1" t="s">
        <v>1155</v>
      </c>
      <c r="DP8" s="2"/>
      <c r="DQ8" s="2" t="s">
        <v>1162</v>
      </c>
      <c r="DR8" s="2">
        <v>0</v>
      </c>
      <c r="DS8" s="2">
        <v>0</v>
      </c>
      <c r="DT8" s="2">
        <v>1</v>
      </c>
      <c r="DU8" s="2">
        <v>0</v>
      </c>
      <c r="DV8" s="2">
        <v>0</v>
      </c>
      <c r="DW8" s="2"/>
      <c r="DX8" s="2" t="s">
        <v>2397</v>
      </c>
      <c r="DY8" s="2">
        <v>0</v>
      </c>
      <c r="DZ8" s="2">
        <v>0</v>
      </c>
      <c r="EA8" s="2">
        <v>0</v>
      </c>
      <c r="EB8" s="2">
        <v>1</v>
      </c>
      <c r="EC8" s="2">
        <v>0</v>
      </c>
      <c r="ED8" s="2">
        <v>0</v>
      </c>
      <c r="EE8" s="2">
        <v>0</v>
      </c>
      <c r="EF8" s="2">
        <v>0</v>
      </c>
      <c r="EG8" s="2">
        <v>0</v>
      </c>
      <c r="EH8" s="2">
        <v>0</v>
      </c>
      <c r="EI8" s="2">
        <v>0</v>
      </c>
      <c r="EJ8" s="2">
        <v>0</v>
      </c>
      <c r="EK8" s="2">
        <v>1</v>
      </c>
      <c r="EL8" s="2"/>
      <c r="EM8" s="2" t="s">
        <v>1194</v>
      </c>
      <c r="EN8" s="2">
        <v>0</v>
      </c>
      <c r="EO8" s="2">
        <v>0</v>
      </c>
      <c r="EP8" s="2">
        <v>0</v>
      </c>
      <c r="EQ8" s="2">
        <v>0</v>
      </c>
      <c r="ER8" s="2">
        <v>1</v>
      </c>
      <c r="ES8" s="2">
        <v>0</v>
      </c>
      <c r="ET8" s="2">
        <v>0</v>
      </c>
      <c r="EU8" s="2">
        <v>0</v>
      </c>
      <c r="EV8" s="2">
        <v>0</v>
      </c>
      <c r="EW8" s="2">
        <v>0</v>
      </c>
      <c r="EX8" s="2">
        <v>0</v>
      </c>
      <c r="EY8" s="2">
        <v>0</v>
      </c>
      <c r="EZ8" s="2">
        <v>0</v>
      </c>
      <c r="FB8" s="1" t="s">
        <v>1155</v>
      </c>
      <c r="GH8" s="2"/>
      <c r="GI8" s="2" t="s">
        <v>2370</v>
      </c>
      <c r="GJ8" s="2">
        <v>0</v>
      </c>
      <c r="GK8" s="2">
        <v>0</v>
      </c>
      <c r="GL8" s="2">
        <v>0</v>
      </c>
      <c r="GM8" s="2">
        <v>0</v>
      </c>
      <c r="GN8" s="2">
        <v>0</v>
      </c>
      <c r="GO8" s="2">
        <v>0</v>
      </c>
      <c r="GP8" s="2">
        <v>1</v>
      </c>
      <c r="GQ8" s="2">
        <v>0</v>
      </c>
      <c r="GR8" s="2">
        <v>0</v>
      </c>
      <c r="GS8" s="2">
        <v>0</v>
      </c>
      <c r="GT8" s="2">
        <v>0</v>
      </c>
      <c r="GU8" s="2">
        <v>0</v>
      </c>
      <c r="GV8" s="2">
        <v>0</v>
      </c>
      <c r="AVT8" s="1">
        <v>136622489</v>
      </c>
      <c r="AVU8" s="1" t="s">
        <v>2398</v>
      </c>
      <c r="AVW8" s="1">
        <v>248</v>
      </c>
    </row>
    <row r="9" spans="1:1271" x14ac:dyDescent="0.3">
      <c r="A9" s="1" t="s">
        <v>2399</v>
      </c>
      <c r="B9" s="1" t="s">
        <v>2400</v>
      </c>
      <c r="C9" s="1" t="s">
        <v>2401</v>
      </c>
      <c r="D9" s="1" t="s">
        <v>2345</v>
      </c>
      <c r="E9" s="1">
        <v>356676102907869</v>
      </c>
      <c r="F9" s="1" t="s">
        <v>2345</v>
      </c>
      <c r="H9" s="2"/>
      <c r="I9" s="1" t="s">
        <v>1659</v>
      </c>
      <c r="J9" s="1" t="s">
        <v>2346</v>
      </c>
      <c r="K9" s="1" t="s">
        <v>2346</v>
      </c>
      <c r="N9" s="1" t="s">
        <v>1153</v>
      </c>
      <c r="O9" s="2">
        <v>1</v>
      </c>
      <c r="P9" s="2">
        <v>0</v>
      </c>
      <c r="Q9" s="2">
        <v>0</v>
      </c>
      <c r="R9" s="2">
        <v>0</v>
      </c>
      <c r="S9" s="2">
        <v>0</v>
      </c>
      <c r="U9" s="1" t="s">
        <v>1840</v>
      </c>
      <c r="W9" s="1" t="s">
        <v>1156</v>
      </c>
      <c r="X9" s="1" t="s">
        <v>1156</v>
      </c>
      <c r="AM9" s="2"/>
      <c r="AN9" s="1" t="s">
        <v>1182</v>
      </c>
      <c r="AO9" s="1">
        <v>266</v>
      </c>
      <c r="AP9" s="1" t="s">
        <v>2145</v>
      </c>
      <c r="AR9" s="1" t="s">
        <v>1801</v>
      </c>
      <c r="AS9" s="1" t="s">
        <v>1841</v>
      </c>
      <c r="AT9" s="1" t="s">
        <v>1155</v>
      </c>
      <c r="AU9" s="2"/>
      <c r="AV9" s="2"/>
      <c r="AW9" s="2"/>
      <c r="AX9" s="2"/>
      <c r="AY9" s="2"/>
      <c r="AZ9" s="2"/>
      <c r="BA9" s="2"/>
      <c r="BB9" s="2"/>
      <c r="BN9" s="2"/>
      <c r="BO9" s="2" t="s">
        <v>1158</v>
      </c>
      <c r="BP9" s="2">
        <v>0</v>
      </c>
      <c r="BQ9" s="2">
        <v>0</v>
      </c>
      <c r="BR9" s="2">
        <v>0</v>
      </c>
      <c r="BS9" s="2">
        <v>0</v>
      </c>
      <c r="BT9" s="2">
        <v>0</v>
      </c>
      <c r="BU9" s="2">
        <v>1</v>
      </c>
      <c r="BV9" s="2">
        <v>0</v>
      </c>
      <c r="BW9" s="2">
        <v>0</v>
      </c>
      <c r="BX9" s="2">
        <v>0</v>
      </c>
      <c r="BY9" s="2">
        <v>0</v>
      </c>
      <c r="BZ9" s="1">
        <v>0</v>
      </c>
      <c r="CA9" s="1">
        <v>0</v>
      </c>
      <c r="CC9" s="1" t="s">
        <v>1155</v>
      </c>
      <c r="DP9" s="2"/>
      <c r="DQ9" s="2" t="s">
        <v>1162</v>
      </c>
      <c r="DR9" s="2">
        <v>0</v>
      </c>
      <c r="DS9" s="2">
        <v>0</v>
      </c>
      <c r="DT9" s="2">
        <v>1</v>
      </c>
      <c r="DU9" s="2">
        <v>0</v>
      </c>
      <c r="DV9" s="2">
        <v>0</v>
      </c>
      <c r="DW9" s="2"/>
      <c r="DX9" s="2" t="s">
        <v>2402</v>
      </c>
      <c r="DY9" s="2">
        <v>0</v>
      </c>
      <c r="DZ9" s="2">
        <v>0</v>
      </c>
      <c r="EA9" s="2">
        <v>0</v>
      </c>
      <c r="EB9" s="2">
        <v>0</v>
      </c>
      <c r="EC9" s="2">
        <v>0</v>
      </c>
      <c r="ED9" s="2">
        <v>1</v>
      </c>
      <c r="EE9" s="2">
        <v>0</v>
      </c>
      <c r="EF9" s="2">
        <v>0</v>
      </c>
      <c r="EG9" s="2">
        <v>0</v>
      </c>
      <c r="EH9" s="2">
        <v>0</v>
      </c>
      <c r="EI9" s="2">
        <v>0</v>
      </c>
      <c r="EJ9" s="2">
        <v>0</v>
      </c>
      <c r="EK9" s="2">
        <v>0</v>
      </c>
      <c r="EL9" s="2"/>
      <c r="EM9" s="2" t="s">
        <v>1194</v>
      </c>
      <c r="EN9" s="2">
        <v>0</v>
      </c>
      <c r="EO9" s="2">
        <v>0</v>
      </c>
      <c r="EP9" s="2">
        <v>0</v>
      </c>
      <c r="EQ9" s="2">
        <v>0</v>
      </c>
      <c r="ER9" s="2">
        <v>1</v>
      </c>
      <c r="ES9" s="2">
        <v>0</v>
      </c>
      <c r="ET9" s="2">
        <v>0</v>
      </c>
      <c r="EU9" s="2">
        <v>0</v>
      </c>
      <c r="EV9" s="2">
        <v>0</v>
      </c>
      <c r="EW9" s="2">
        <v>0</v>
      </c>
      <c r="EX9" s="2">
        <v>0</v>
      </c>
      <c r="EY9" s="2">
        <v>0</v>
      </c>
      <c r="EZ9" s="2">
        <v>0</v>
      </c>
      <c r="FB9" s="1" t="s">
        <v>1155</v>
      </c>
      <c r="GH9" s="2"/>
      <c r="GI9" s="2" t="s">
        <v>2403</v>
      </c>
      <c r="GJ9" s="2">
        <v>0</v>
      </c>
      <c r="GK9" s="2">
        <v>0</v>
      </c>
      <c r="GL9" s="2">
        <v>0</v>
      </c>
      <c r="GM9" s="2">
        <v>0</v>
      </c>
      <c r="GN9" s="2">
        <v>0</v>
      </c>
      <c r="GO9" s="2">
        <v>0</v>
      </c>
      <c r="GP9" s="2">
        <v>0</v>
      </c>
      <c r="GQ9" s="2">
        <v>0</v>
      </c>
      <c r="GR9" s="2">
        <v>0</v>
      </c>
      <c r="GS9" s="2">
        <v>0</v>
      </c>
      <c r="GT9" s="2">
        <v>1</v>
      </c>
      <c r="GU9" s="2">
        <v>0</v>
      </c>
      <c r="GV9" s="2">
        <v>0</v>
      </c>
      <c r="AVT9" s="1">
        <v>136622509</v>
      </c>
      <c r="AVU9" s="1" t="s">
        <v>2404</v>
      </c>
      <c r="AVW9" s="1">
        <v>249</v>
      </c>
    </row>
    <row r="10" spans="1:1271" x14ac:dyDescent="0.3">
      <c r="A10" s="1" t="s">
        <v>2405</v>
      </c>
      <c r="B10" s="1" t="s">
        <v>2406</v>
      </c>
      <c r="C10" s="1" t="s">
        <v>2407</v>
      </c>
      <c r="D10" s="1" t="s">
        <v>2345</v>
      </c>
      <c r="E10" s="1">
        <v>356676102907869</v>
      </c>
      <c r="F10" s="1" t="s">
        <v>2345</v>
      </c>
      <c r="H10" s="2"/>
      <c r="I10" s="1" t="s">
        <v>1659</v>
      </c>
      <c r="J10" s="1" t="s">
        <v>2346</v>
      </c>
      <c r="K10" s="1" t="s">
        <v>2346</v>
      </c>
      <c r="N10" s="1" t="s">
        <v>1153</v>
      </c>
      <c r="O10" s="2">
        <v>1</v>
      </c>
      <c r="P10" s="2">
        <v>0</v>
      </c>
      <c r="Q10" s="2">
        <v>0</v>
      </c>
      <c r="R10" s="2">
        <v>0</v>
      </c>
      <c r="S10" s="2">
        <v>0</v>
      </c>
      <c r="U10" s="1" t="s">
        <v>2259</v>
      </c>
      <c r="W10" s="1" t="s">
        <v>1155</v>
      </c>
      <c r="X10" s="1" t="s">
        <v>1156</v>
      </c>
      <c r="AM10" s="2"/>
      <c r="AN10" s="1" t="s">
        <v>1182</v>
      </c>
      <c r="AO10" s="1">
        <v>105</v>
      </c>
      <c r="AP10" s="1" t="s">
        <v>2145</v>
      </c>
      <c r="AR10" s="1" t="s">
        <v>1710</v>
      </c>
      <c r="AS10" s="1" t="s">
        <v>1841</v>
      </c>
      <c r="AT10" s="1" t="s">
        <v>1155</v>
      </c>
      <c r="AU10" s="2"/>
      <c r="AV10" s="2"/>
      <c r="AW10" s="2"/>
      <c r="AX10" s="2"/>
      <c r="AY10" s="2"/>
      <c r="AZ10" s="2"/>
      <c r="BA10" s="2"/>
      <c r="BB10" s="2"/>
      <c r="BN10" s="2"/>
      <c r="BO10" s="2" t="s">
        <v>1802</v>
      </c>
      <c r="BP10" s="2">
        <v>0</v>
      </c>
      <c r="BQ10" s="2">
        <v>0</v>
      </c>
      <c r="BR10" s="2">
        <v>0</v>
      </c>
      <c r="BS10" s="2">
        <v>0</v>
      </c>
      <c r="BT10" s="2">
        <v>0</v>
      </c>
      <c r="BU10" s="2">
        <v>0</v>
      </c>
      <c r="BV10" s="2">
        <v>0</v>
      </c>
      <c r="BW10" s="2">
        <v>0</v>
      </c>
      <c r="BX10" s="2">
        <v>0</v>
      </c>
      <c r="BY10" s="2">
        <v>0</v>
      </c>
      <c r="BZ10" s="1">
        <v>1</v>
      </c>
      <c r="CA10" s="1">
        <v>0</v>
      </c>
      <c r="CC10" s="1" t="s">
        <v>1155</v>
      </c>
      <c r="DP10" s="2"/>
      <c r="DQ10" s="2" t="s">
        <v>1162</v>
      </c>
      <c r="DR10" s="2">
        <v>0</v>
      </c>
      <c r="DS10" s="2">
        <v>0</v>
      </c>
      <c r="DT10" s="2">
        <v>1</v>
      </c>
      <c r="DU10" s="2">
        <v>0</v>
      </c>
      <c r="DV10" s="2">
        <v>0</v>
      </c>
      <c r="DW10" s="2"/>
      <c r="DX10" s="2" t="s">
        <v>2369</v>
      </c>
      <c r="DY10" s="2">
        <v>0</v>
      </c>
      <c r="DZ10" s="2">
        <v>0</v>
      </c>
      <c r="EA10" s="2">
        <v>0</v>
      </c>
      <c r="EB10" s="2">
        <v>0</v>
      </c>
      <c r="EC10" s="2">
        <v>0</v>
      </c>
      <c r="ED10" s="2">
        <v>0</v>
      </c>
      <c r="EE10" s="2">
        <v>0</v>
      </c>
      <c r="EF10" s="2">
        <v>0</v>
      </c>
      <c r="EG10" s="2">
        <v>1</v>
      </c>
      <c r="EH10" s="2">
        <v>0</v>
      </c>
      <c r="EI10" s="2">
        <v>0</v>
      </c>
      <c r="EJ10" s="2">
        <v>0</v>
      </c>
      <c r="EK10" s="2">
        <v>0</v>
      </c>
      <c r="EL10" s="2"/>
      <c r="EM10" s="2" t="s">
        <v>1164</v>
      </c>
      <c r="EN10" s="2">
        <v>0</v>
      </c>
      <c r="EO10" s="2">
        <v>0</v>
      </c>
      <c r="EP10" s="2">
        <v>0</v>
      </c>
      <c r="EQ10" s="2">
        <v>0</v>
      </c>
      <c r="ER10" s="2">
        <v>0</v>
      </c>
      <c r="ES10" s="2">
        <v>0</v>
      </c>
      <c r="ET10" s="2">
        <v>0</v>
      </c>
      <c r="EU10" s="2">
        <v>0</v>
      </c>
      <c r="EV10" s="2">
        <v>0</v>
      </c>
      <c r="EW10" s="2">
        <v>1</v>
      </c>
      <c r="EX10" s="2">
        <v>0</v>
      </c>
      <c r="EY10" s="2">
        <v>0</v>
      </c>
      <c r="EZ10" s="2">
        <v>0</v>
      </c>
      <c r="FB10" s="1" t="s">
        <v>1155</v>
      </c>
      <c r="GH10" s="2"/>
      <c r="GI10" s="2" t="s">
        <v>2370</v>
      </c>
      <c r="GJ10" s="2">
        <v>0</v>
      </c>
      <c r="GK10" s="2">
        <v>0</v>
      </c>
      <c r="GL10" s="2">
        <v>0</v>
      </c>
      <c r="GM10" s="2">
        <v>0</v>
      </c>
      <c r="GN10" s="2">
        <v>0</v>
      </c>
      <c r="GO10" s="2">
        <v>0</v>
      </c>
      <c r="GP10" s="2">
        <v>1</v>
      </c>
      <c r="GQ10" s="2">
        <v>0</v>
      </c>
      <c r="GR10" s="2">
        <v>0</v>
      </c>
      <c r="GS10" s="2">
        <v>0</v>
      </c>
      <c r="GT10" s="2">
        <v>0</v>
      </c>
      <c r="GU10" s="2">
        <v>0</v>
      </c>
      <c r="GV10" s="2">
        <v>0</v>
      </c>
      <c r="AVT10" s="1">
        <v>136622542</v>
      </c>
      <c r="AVU10" s="1" t="s">
        <v>2408</v>
      </c>
      <c r="AVW10" s="1">
        <v>250</v>
      </c>
    </row>
    <row r="11" spans="1:1271" x14ac:dyDescent="0.3">
      <c r="A11" s="1" t="s">
        <v>2409</v>
      </c>
      <c r="B11" s="1" t="s">
        <v>2410</v>
      </c>
      <c r="C11" s="1" t="s">
        <v>2411</v>
      </c>
      <c r="D11" s="1" t="s">
        <v>2345</v>
      </c>
      <c r="E11" s="1">
        <v>356676102907869</v>
      </c>
      <c r="F11" s="1" t="s">
        <v>2345</v>
      </c>
      <c r="H11" s="2"/>
      <c r="I11" s="1" t="s">
        <v>1659</v>
      </c>
      <c r="J11" s="1" t="s">
        <v>2346</v>
      </c>
      <c r="K11" s="1" t="s">
        <v>2346</v>
      </c>
      <c r="N11" s="1" t="s">
        <v>1153</v>
      </c>
      <c r="O11" s="2">
        <v>1</v>
      </c>
      <c r="P11" s="2">
        <v>0</v>
      </c>
      <c r="Q11" s="2">
        <v>0</v>
      </c>
      <c r="R11" s="2">
        <v>0</v>
      </c>
      <c r="S11" s="2">
        <v>0</v>
      </c>
      <c r="U11" s="1" t="s">
        <v>2259</v>
      </c>
      <c r="W11" s="1" t="s">
        <v>1155</v>
      </c>
      <c r="X11" s="1" t="s">
        <v>1156</v>
      </c>
      <c r="AN11" s="1" t="s">
        <v>1182</v>
      </c>
      <c r="AO11" s="1">
        <v>32</v>
      </c>
      <c r="AP11" s="1" t="s">
        <v>2145</v>
      </c>
      <c r="AR11" s="1" t="s">
        <v>1710</v>
      </c>
      <c r="AS11" s="1" t="s">
        <v>1841</v>
      </c>
      <c r="AT11" s="1" t="s">
        <v>1155</v>
      </c>
      <c r="BO11" s="1" t="s">
        <v>1802</v>
      </c>
      <c r="BP11" s="1">
        <v>0</v>
      </c>
      <c r="BQ11" s="1">
        <v>0</v>
      </c>
      <c r="BR11" s="1">
        <v>0</v>
      </c>
      <c r="BS11" s="1">
        <v>0</v>
      </c>
      <c r="BT11" s="1">
        <v>0</v>
      </c>
      <c r="BU11" s="1">
        <v>0</v>
      </c>
      <c r="BV11" s="1">
        <v>0</v>
      </c>
      <c r="BW11" s="1">
        <v>0</v>
      </c>
      <c r="BX11" s="1">
        <v>0</v>
      </c>
      <c r="BY11" s="1">
        <v>0</v>
      </c>
      <c r="BZ11" s="1">
        <v>1</v>
      </c>
      <c r="CA11" s="1">
        <v>0</v>
      </c>
      <c r="CC11" s="1" t="s">
        <v>1155</v>
      </c>
      <c r="DQ11" s="1" t="s">
        <v>1162</v>
      </c>
      <c r="DR11" s="2">
        <v>0</v>
      </c>
      <c r="DS11" s="2">
        <v>0</v>
      </c>
      <c r="DT11" s="2">
        <v>1</v>
      </c>
      <c r="DU11" s="2">
        <v>0</v>
      </c>
      <c r="DV11" s="2">
        <v>0</v>
      </c>
      <c r="DX11" s="1" t="s">
        <v>2376</v>
      </c>
      <c r="DY11" s="2">
        <v>0</v>
      </c>
      <c r="DZ11" s="2">
        <v>1</v>
      </c>
      <c r="EA11" s="2">
        <v>0</v>
      </c>
      <c r="EB11" s="2">
        <v>0</v>
      </c>
      <c r="EC11" s="2">
        <v>0</v>
      </c>
      <c r="ED11" s="2">
        <v>0</v>
      </c>
      <c r="EE11" s="2">
        <v>0</v>
      </c>
      <c r="EF11" s="2">
        <v>0</v>
      </c>
      <c r="EG11" s="2">
        <v>0</v>
      </c>
      <c r="EH11" s="2">
        <v>0</v>
      </c>
      <c r="EI11" s="2">
        <v>0</v>
      </c>
      <c r="EJ11" s="2">
        <v>0</v>
      </c>
      <c r="EK11" s="2">
        <v>0</v>
      </c>
      <c r="EM11" s="1" t="s">
        <v>1194</v>
      </c>
      <c r="EN11" s="2">
        <v>0</v>
      </c>
      <c r="EO11" s="2">
        <v>0</v>
      </c>
      <c r="EP11" s="2">
        <v>0</v>
      </c>
      <c r="EQ11" s="2">
        <v>0</v>
      </c>
      <c r="ER11" s="2">
        <v>1</v>
      </c>
      <c r="ES11" s="2">
        <v>0</v>
      </c>
      <c r="ET11" s="2">
        <v>0</v>
      </c>
      <c r="EU11" s="2">
        <v>0</v>
      </c>
      <c r="EV11" s="2">
        <v>0</v>
      </c>
      <c r="EW11" s="2">
        <v>0</v>
      </c>
      <c r="EX11" s="2">
        <v>0</v>
      </c>
      <c r="EY11" s="2">
        <v>0</v>
      </c>
      <c r="EZ11" s="2">
        <v>0</v>
      </c>
      <c r="FB11" s="1" t="s">
        <v>1155</v>
      </c>
      <c r="GI11" s="1" t="s">
        <v>2370</v>
      </c>
      <c r="GJ11" s="2">
        <v>0</v>
      </c>
      <c r="GK11" s="2">
        <v>0</v>
      </c>
      <c r="GL11" s="2">
        <v>0</v>
      </c>
      <c r="GM11" s="2">
        <v>0</v>
      </c>
      <c r="GN11" s="2">
        <v>0</v>
      </c>
      <c r="GO11" s="2">
        <v>0</v>
      </c>
      <c r="GP11" s="2">
        <v>1</v>
      </c>
      <c r="GQ11" s="2">
        <v>0</v>
      </c>
      <c r="GR11" s="2">
        <v>0</v>
      </c>
      <c r="GS11" s="2">
        <v>0</v>
      </c>
      <c r="GT11" s="2">
        <v>0</v>
      </c>
      <c r="GU11" s="2">
        <v>0</v>
      </c>
      <c r="GV11" s="2">
        <v>0</v>
      </c>
      <c r="PI11" s="2"/>
      <c r="PK11" s="2"/>
      <c r="PL11" s="2"/>
      <c r="PW11" s="2"/>
      <c r="PX11" s="2"/>
      <c r="PY11" s="2"/>
      <c r="PZ11" s="2"/>
      <c r="QA11" s="2"/>
      <c r="QB11" s="2"/>
      <c r="QC11" s="2"/>
      <c r="QD11" s="2"/>
      <c r="QE11" s="2"/>
      <c r="QF11" s="2"/>
      <c r="QG11" s="2"/>
      <c r="QH11" s="2"/>
      <c r="QI11" s="2"/>
      <c r="QJ11" s="2"/>
      <c r="QN11" s="2"/>
      <c r="QO11" s="2"/>
      <c r="QP11" s="2"/>
      <c r="QQ11" s="2"/>
      <c r="QR11" s="2"/>
      <c r="QS11" s="2"/>
      <c r="QW11" s="2"/>
      <c r="QX11" s="2"/>
      <c r="QY11" s="2"/>
      <c r="QZ11" s="2"/>
      <c r="RA11" s="2"/>
      <c r="RC11" s="2"/>
      <c r="RG11" s="2"/>
      <c r="RH11" s="2"/>
      <c r="RI11" s="2"/>
      <c r="RJ11" s="2"/>
      <c r="RK11" s="2"/>
      <c r="RL11" s="2"/>
      <c r="RM11" s="2"/>
      <c r="RN11" s="2"/>
      <c r="RO11" s="2"/>
      <c r="RP11" s="2"/>
      <c r="SB11" s="2"/>
      <c r="SC11" s="2"/>
      <c r="SD11" s="2"/>
      <c r="SE11" s="2"/>
      <c r="SF11" s="2"/>
      <c r="SG11" s="2"/>
      <c r="SH11" s="2"/>
      <c r="SI11" s="2"/>
      <c r="SK11" s="2"/>
      <c r="SL11" s="2"/>
      <c r="SM11" s="2"/>
      <c r="SN11" s="2"/>
      <c r="SO11" s="2"/>
      <c r="SP11" s="2"/>
      <c r="SQ11" s="2"/>
      <c r="SR11" s="2"/>
      <c r="SS11" s="2"/>
      <c r="ST11" s="2"/>
      <c r="SU11" s="2"/>
      <c r="SV11" s="2"/>
      <c r="UC11" s="2"/>
      <c r="UD11" s="2"/>
      <c r="UE11" s="2"/>
      <c r="UF11" s="2"/>
      <c r="UG11" s="2"/>
      <c r="UM11" s="2"/>
      <c r="UN11" s="2"/>
      <c r="UO11" s="2"/>
      <c r="UP11" s="2"/>
      <c r="UQ11" s="2"/>
      <c r="UR11" s="2"/>
      <c r="US11" s="2"/>
      <c r="UT11" s="2"/>
      <c r="UU11" s="2"/>
      <c r="UV11" s="2"/>
      <c r="UW11" s="2"/>
      <c r="UX11" s="2"/>
      <c r="UY11" s="2"/>
      <c r="UZ11" s="2"/>
      <c r="VA11" s="2"/>
      <c r="VB11" s="2"/>
      <c r="VE11" s="2"/>
      <c r="VF11" s="2"/>
      <c r="VG11" s="2"/>
      <c r="VH11" s="2"/>
      <c r="VI11" s="2"/>
      <c r="VJ11" s="2"/>
      <c r="VK11" s="2"/>
      <c r="VL11" s="2"/>
      <c r="VM11" s="2"/>
      <c r="VN11" s="2"/>
      <c r="VO11" s="2"/>
      <c r="VP11" s="2"/>
      <c r="VQ11" s="2"/>
      <c r="VU11" s="2"/>
      <c r="VV11" s="2"/>
      <c r="VW11" s="2"/>
      <c r="VX11" s="2"/>
      <c r="VY11" s="2"/>
      <c r="VZ11" s="2"/>
      <c r="WA11" s="2"/>
      <c r="WD11" s="2"/>
      <c r="WE11" s="2"/>
      <c r="WF11" s="2"/>
      <c r="WG11" s="2"/>
      <c r="WH11" s="2"/>
      <c r="WI11" s="2"/>
      <c r="WJ11" s="2"/>
      <c r="WK11" s="2"/>
      <c r="WL11" s="2"/>
      <c r="WM11" s="2"/>
      <c r="WN11" s="2"/>
      <c r="WO11" s="2"/>
      <c r="WP11" s="2"/>
      <c r="XA11" s="2"/>
      <c r="XB11" s="2"/>
      <c r="XC11" s="2"/>
      <c r="XD11" s="2"/>
      <c r="XE11" s="2"/>
      <c r="XF11" s="2"/>
      <c r="XG11" s="2"/>
      <c r="XH11" s="2"/>
      <c r="XI11" s="2"/>
      <c r="XJ11" s="2"/>
      <c r="XK11" s="2"/>
      <c r="XL11" s="2"/>
      <c r="XM11" s="2"/>
      <c r="XR11" s="2"/>
      <c r="XS11" s="2"/>
      <c r="XT11" s="2"/>
      <c r="XU11" s="2"/>
      <c r="XV11" s="2"/>
      <c r="XW11" s="2"/>
      <c r="XX11" s="2"/>
      <c r="XY11" s="2"/>
      <c r="YF11" s="2"/>
      <c r="YG11" s="2"/>
      <c r="YH11" s="2"/>
      <c r="YI11" s="2"/>
      <c r="YJ11" s="2"/>
      <c r="YK11" s="2"/>
      <c r="YL11" s="2"/>
      <c r="YM11" s="2"/>
      <c r="YQ11" s="2"/>
      <c r="YR11" s="2"/>
      <c r="YS11" s="2"/>
      <c r="YT11" s="2"/>
      <c r="YU11" s="2"/>
      <c r="YX11" s="2"/>
      <c r="ZD11" s="2"/>
      <c r="ZL11" s="2"/>
      <c r="AVT11" s="1">
        <v>136622571</v>
      </c>
      <c r="AVU11" s="1" t="s">
        <v>2412</v>
      </c>
      <c r="AVW11" s="1">
        <v>251</v>
      </c>
    </row>
    <row r="12" spans="1:1271" x14ac:dyDescent="0.3">
      <c r="A12" s="1" t="s">
        <v>2413</v>
      </c>
      <c r="B12" s="1" t="s">
        <v>2414</v>
      </c>
      <c r="C12" s="1" t="s">
        <v>2415</v>
      </c>
      <c r="D12" s="1" t="s">
        <v>2345</v>
      </c>
      <c r="E12" s="1">
        <v>356676102907869</v>
      </c>
      <c r="F12" s="1" t="s">
        <v>2345</v>
      </c>
      <c r="H12" s="2"/>
      <c r="I12" s="1" t="s">
        <v>1659</v>
      </c>
      <c r="J12" s="1" t="s">
        <v>2346</v>
      </c>
      <c r="K12" s="1" t="s">
        <v>2346</v>
      </c>
      <c r="N12" s="1" t="s">
        <v>1153</v>
      </c>
      <c r="O12" s="2">
        <v>1</v>
      </c>
      <c r="P12" s="2">
        <v>0</v>
      </c>
      <c r="Q12" s="2">
        <v>0</v>
      </c>
      <c r="R12" s="2">
        <v>0</v>
      </c>
      <c r="S12" s="2">
        <v>0</v>
      </c>
      <c r="U12" s="1" t="s">
        <v>2167</v>
      </c>
      <c r="W12" s="1" t="s">
        <v>1155</v>
      </c>
      <c r="X12" s="1" t="s">
        <v>1156</v>
      </c>
      <c r="AN12" s="1" t="s">
        <v>1182</v>
      </c>
      <c r="AO12" s="1">
        <v>25</v>
      </c>
      <c r="AP12" s="1" t="s">
        <v>2145</v>
      </c>
      <c r="AR12" s="1" t="s">
        <v>1710</v>
      </c>
      <c r="AS12" s="1" t="s">
        <v>1841</v>
      </c>
      <c r="AT12" s="1" t="s">
        <v>1156</v>
      </c>
      <c r="AU12" s="1" t="s">
        <v>1166</v>
      </c>
      <c r="BF12" s="1" t="s">
        <v>1517</v>
      </c>
      <c r="BG12" s="1">
        <v>1</v>
      </c>
      <c r="BH12" s="1">
        <v>0</v>
      </c>
      <c r="BI12" s="1">
        <v>0</v>
      </c>
      <c r="BJ12" s="1">
        <v>0</v>
      </c>
      <c r="BK12" s="1">
        <v>0</v>
      </c>
      <c r="BL12" s="1">
        <v>0</v>
      </c>
      <c r="BM12" s="1">
        <v>0</v>
      </c>
      <c r="BO12" s="1" t="s">
        <v>1802</v>
      </c>
      <c r="BP12" s="1">
        <v>0</v>
      </c>
      <c r="BQ12" s="1">
        <v>0</v>
      </c>
      <c r="BR12" s="1">
        <v>0</v>
      </c>
      <c r="BS12" s="1">
        <v>0</v>
      </c>
      <c r="BT12" s="1">
        <v>0</v>
      </c>
      <c r="BU12" s="1">
        <v>0</v>
      </c>
      <c r="BV12" s="1">
        <v>0</v>
      </c>
      <c r="BW12" s="1">
        <v>0</v>
      </c>
      <c r="BX12" s="1">
        <v>0</v>
      </c>
      <c r="BY12" s="1">
        <v>0</v>
      </c>
      <c r="BZ12" s="1">
        <v>1</v>
      </c>
      <c r="CA12" s="1">
        <v>0</v>
      </c>
      <c r="CC12" s="1" t="s">
        <v>1155</v>
      </c>
      <c r="DQ12" s="1" t="s">
        <v>1162</v>
      </c>
      <c r="DR12" s="2">
        <v>0</v>
      </c>
      <c r="DS12" s="2">
        <v>0</v>
      </c>
      <c r="DT12" s="2">
        <v>1</v>
      </c>
      <c r="DU12" s="2">
        <v>0</v>
      </c>
      <c r="DV12" s="2">
        <v>0</v>
      </c>
      <c r="DX12" s="1" t="s">
        <v>2376</v>
      </c>
      <c r="DY12" s="2">
        <v>0</v>
      </c>
      <c r="DZ12" s="2">
        <v>1</v>
      </c>
      <c r="EA12" s="2">
        <v>0</v>
      </c>
      <c r="EB12" s="2">
        <v>0</v>
      </c>
      <c r="EC12" s="2">
        <v>0</v>
      </c>
      <c r="ED12" s="2">
        <v>0</v>
      </c>
      <c r="EE12" s="2">
        <v>0</v>
      </c>
      <c r="EF12" s="2">
        <v>0</v>
      </c>
      <c r="EG12" s="2">
        <v>0</v>
      </c>
      <c r="EH12" s="2">
        <v>0</v>
      </c>
      <c r="EI12" s="2">
        <v>0</v>
      </c>
      <c r="EJ12" s="2">
        <v>0</v>
      </c>
      <c r="EK12" s="2">
        <v>0</v>
      </c>
      <c r="EM12" s="1" t="s">
        <v>1164</v>
      </c>
      <c r="EN12" s="2">
        <v>0</v>
      </c>
      <c r="EO12" s="2">
        <v>0</v>
      </c>
      <c r="EP12" s="2">
        <v>0</v>
      </c>
      <c r="EQ12" s="2">
        <v>0</v>
      </c>
      <c r="ER12" s="2">
        <v>0</v>
      </c>
      <c r="ES12" s="2">
        <v>0</v>
      </c>
      <c r="ET12" s="2">
        <v>0</v>
      </c>
      <c r="EU12" s="2">
        <v>0</v>
      </c>
      <c r="EV12" s="2">
        <v>0</v>
      </c>
      <c r="EW12" s="2">
        <v>1</v>
      </c>
      <c r="EX12" s="2">
        <v>0</v>
      </c>
      <c r="EY12" s="2">
        <v>0</v>
      </c>
      <c r="EZ12" s="2">
        <v>0</v>
      </c>
      <c r="FB12" s="1" t="s">
        <v>1155</v>
      </c>
      <c r="GI12" s="1" t="s">
        <v>2370</v>
      </c>
      <c r="GJ12" s="2">
        <v>0</v>
      </c>
      <c r="GK12" s="2">
        <v>0</v>
      </c>
      <c r="GL12" s="2">
        <v>0</v>
      </c>
      <c r="GM12" s="2">
        <v>0</v>
      </c>
      <c r="GN12" s="2">
        <v>0</v>
      </c>
      <c r="GO12" s="2">
        <v>0</v>
      </c>
      <c r="GP12" s="2">
        <v>1</v>
      </c>
      <c r="GQ12" s="2">
        <v>0</v>
      </c>
      <c r="GR12" s="2">
        <v>0</v>
      </c>
      <c r="GS12" s="2">
        <v>0</v>
      </c>
      <c r="GT12" s="2">
        <v>0</v>
      </c>
      <c r="GU12" s="2">
        <v>0</v>
      </c>
      <c r="GV12" s="2">
        <v>0</v>
      </c>
      <c r="AAZ12" s="2"/>
      <c r="ABA12" s="2"/>
      <c r="ABB12" s="2"/>
      <c r="ABC12" s="2"/>
      <c r="ABD12" s="2"/>
      <c r="ABG12" s="2"/>
      <c r="ABH12" s="2"/>
      <c r="ABI12" s="2"/>
      <c r="ABJ12" s="2"/>
      <c r="ABK12" s="2"/>
      <c r="ABL12" s="2"/>
      <c r="ABM12" s="2"/>
      <c r="ABN12" s="2"/>
      <c r="ABO12" s="2"/>
      <c r="ABP12" s="2"/>
      <c r="ABQ12" s="2"/>
      <c r="ABR12" s="2"/>
      <c r="ABT12" s="2"/>
      <c r="ACH12" s="2"/>
      <c r="ACI12" s="2"/>
      <c r="ACJ12" s="2"/>
      <c r="ACK12" s="2"/>
      <c r="ACL12" s="2"/>
      <c r="ACN12" s="2"/>
      <c r="ACO12" s="2"/>
      <c r="ACS12" s="2"/>
      <c r="ACT12" s="2"/>
      <c r="ACU12" s="2"/>
      <c r="ACV12" s="2"/>
      <c r="ACW12" s="2"/>
      <c r="ACX12" s="2"/>
      <c r="ACY12" s="2"/>
      <c r="ADK12" s="2"/>
      <c r="ADL12" s="2"/>
      <c r="ADM12" s="2"/>
      <c r="ADN12" s="2"/>
      <c r="ADO12" s="2"/>
      <c r="AEB12" s="2"/>
      <c r="AEC12" s="2"/>
      <c r="AED12" s="2"/>
      <c r="AEE12" s="2"/>
      <c r="AEF12" s="2"/>
      <c r="AEG12" s="2"/>
      <c r="AEI12" s="2"/>
      <c r="AEJ12" s="2"/>
      <c r="AEK12" s="2"/>
      <c r="AEL12" s="2"/>
      <c r="AEM12" s="2"/>
      <c r="AFF12" s="2"/>
      <c r="AFG12" s="2"/>
      <c r="AFH12" s="2"/>
      <c r="AFI12" s="2"/>
      <c r="AFJ12" s="2"/>
      <c r="AHL12" s="2"/>
      <c r="AHM12" s="2"/>
      <c r="AHN12" s="2"/>
      <c r="AHO12" s="2"/>
      <c r="AHP12" s="2"/>
      <c r="AHS12" s="2"/>
      <c r="AHT12" s="2"/>
      <c r="AHU12" s="2"/>
      <c r="AHV12" s="2"/>
      <c r="AHW12" s="2"/>
      <c r="AHX12" s="2"/>
      <c r="AHY12" s="2"/>
      <c r="AHZ12" s="2"/>
      <c r="AIA12" s="2"/>
      <c r="AIB12" s="2"/>
      <c r="AIC12" s="2"/>
      <c r="AIF12" s="2"/>
      <c r="AIG12" s="2"/>
      <c r="AIH12" s="2"/>
      <c r="AII12" s="2"/>
      <c r="AIJ12" s="2"/>
      <c r="AIK12" s="2"/>
      <c r="AIL12" s="2"/>
      <c r="AIM12" s="2"/>
      <c r="AIN12" s="2"/>
      <c r="AIO12" s="2"/>
      <c r="AIP12" s="2"/>
      <c r="AIQ12" s="2"/>
      <c r="AIR12" s="2"/>
      <c r="AKA12" s="2"/>
      <c r="AKB12" s="2"/>
      <c r="AKC12" s="2"/>
      <c r="AKD12" s="2"/>
      <c r="AKE12" s="2"/>
      <c r="AKF12" s="2"/>
      <c r="AKG12" s="2"/>
      <c r="AKH12" s="2"/>
      <c r="AKI12" s="2"/>
      <c r="AKJ12" s="2"/>
      <c r="AKK12" s="2"/>
      <c r="AKL12" s="2"/>
      <c r="AVT12" s="1">
        <v>136622596</v>
      </c>
      <c r="AVU12" s="1" t="s">
        <v>2416</v>
      </c>
      <c r="AVW12" s="1">
        <v>252</v>
      </c>
    </row>
    <row r="13" spans="1:1271" x14ac:dyDescent="0.3">
      <c r="A13" s="1" t="s">
        <v>2417</v>
      </c>
      <c r="B13" s="1" t="s">
        <v>2418</v>
      </c>
      <c r="C13" s="1" t="s">
        <v>2419</v>
      </c>
      <c r="D13" s="1" t="s">
        <v>2345</v>
      </c>
      <c r="E13" s="1">
        <v>356676102907869</v>
      </c>
      <c r="F13" s="1" t="s">
        <v>2345</v>
      </c>
      <c r="H13" s="2"/>
      <c r="I13" s="1" t="s">
        <v>1659</v>
      </c>
      <c r="J13" s="1" t="s">
        <v>2346</v>
      </c>
      <c r="K13" s="1" t="s">
        <v>2346</v>
      </c>
      <c r="N13" s="1" t="s">
        <v>1153</v>
      </c>
      <c r="O13" s="2">
        <v>1</v>
      </c>
      <c r="P13" s="2">
        <v>0</v>
      </c>
      <c r="Q13" s="2">
        <v>0</v>
      </c>
      <c r="R13" s="2">
        <v>0</v>
      </c>
      <c r="S13" s="2">
        <v>0</v>
      </c>
      <c r="U13" s="1" t="s">
        <v>1840</v>
      </c>
      <c r="W13" s="1" t="s">
        <v>1156</v>
      </c>
      <c r="X13" s="1" t="s">
        <v>1708</v>
      </c>
      <c r="Y13" s="1" t="s">
        <v>2291</v>
      </c>
      <c r="AA13" s="1" t="s">
        <v>2292</v>
      </c>
      <c r="AN13" s="1" t="s">
        <v>1182</v>
      </c>
      <c r="AO13" s="1">
        <v>86</v>
      </c>
      <c r="AP13" s="1" t="s">
        <v>2145</v>
      </c>
      <c r="AR13" s="1" t="s">
        <v>1801</v>
      </c>
      <c r="AS13" s="1" t="s">
        <v>1841</v>
      </c>
      <c r="AT13" s="1" t="s">
        <v>1155</v>
      </c>
      <c r="BO13" s="1" t="s">
        <v>2396</v>
      </c>
      <c r="BP13" s="1">
        <v>0</v>
      </c>
      <c r="BQ13" s="1">
        <v>0</v>
      </c>
      <c r="BR13" s="1">
        <v>0</v>
      </c>
      <c r="BS13" s="1">
        <v>0</v>
      </c>
      <c r="BT13" s="1">
        <v>0</v>
      </c>
      <c r="BU13" s="1">
        <v>1</v>
      </c>
      <c r="BV13" s="1">
        <v>0</v>
      </c>
      <c r="BW13" s="1">
        <v>0</v>
      </c>
      <c r="BX13" s="1">
        <v>0</v>
      </c>
      <c r="BY13" s="1">
        <v>0</v>
      </c>
      <c r="BZ13" s="1">
        <v>0</v>
      </c>
      <c r="CA13" s="1">
        <v>0</v>
      </c>
      <c r="CB13" s="1" t="s">
        <v>2426</v>
      </c>
      <c r="CC13" s="1" t="s">
        <v>1155</v>
      </c>
      <c r="DQ13" s="1" t="s">
        <v>1162</v>
      </c>
      <c r="DR13" s="2">
        <v>0</v>
      </c>
      <c r="DS13" s="2">
        <v>0</v>
      </c>
      <c r="DT13" s="2">
        <v>1</v>
      </c>
      <c r="DU13" s="2">
        <v>0</v>
      </c>
      <c r="DV13" s="2">
        <v>0</v>
      </c>
      <c r="DX13" s="1" t="s">
        <v>2420</v>
      </c>
      <c r="DY13" s="2">
        <v>0</v>
      </c>
      <c r="DZ13" s="2">
        <v>0</v>
      </c>
      <c r="EA13" s="2">
        <v>1</v>
      </c>
      <c r="EB13" s="2">
        <v>0</v>
      </c>
      <c r="EC13" s="2">
        <v>0</v>
      </c>
      <c r="ED13" s="2">
        <v>0</v>
      </c>
      <c r="EE13" s="2">
        <v>0</v>
      </c>
      <c r="EF13" s="2">
        <v>0</v>
      </c>
      <c r="EG13" s="2">
        <v>0</v>
      </c>
      <c r="EH13" s="2">
        <v>0</v>
      </c>
      <c r="EI13" s="2">
        <v>0</v>
      </c>
      <c r="EJ13" s="2">
        <v>0</v>
      </c>
      <c r="EK13" s="2">
        <v>0</v>
      </c>
      <c r="EM13" s="1" t="s">
        <v>2759</v>
      </c>
      <c r="EN13" s="2">
        <v>0</v>
      </c>
      <c r="EO13" s="2">
        <v>0</v>
      </c>
      <c r="EP13" s="2">
        <v>0</v>
      </c>
      <c r="EQ13" s="2">
        <v>0</v>
      </c>
      <c r="ER13" s="2">
        <v>1</v>
      </c>
      <c r="ES13" s="2">
        <v>0</v>
      </c>
      <c r="ET13" s="2">
        <v>0</v>
      </c>
      <c r="EU13" s="2">
        <v>0</v>
      </c>
      <c r="EV13" s="2">
        <v>0</v>
      </c>
      <c r="EW13" s="2">
        <v>0</v>
      </c>
      <c r="EX13" s="2">
        <v>0</v>
      </c>
      <c r="EY13" s="2">
        <v>0</v>
      </c>
      <c r="EZ13" s="2">
        <v>0</v>
      </c>
      <c r="FA13" s="1" t="s">
        <v>2421</v>
      </c>
      <c r="FB13" s="1" t="s">
        <v>1155</v>
      </c>
      <c r="GI13" s="1" t="s">
        <v>2370</v>
      </c>
      <c r="GJ13" s="2">
        <v>0</v>
      </c>
      <c r="GK13" s="2">
        <v>0</v>
      </c>
      <c r="GL13" s="2">
        <v>0</v>
      </c>
      <c r="GM13" s="2">
        <v>0</v>
      </c>
      <c r="GN13" s="2">
        <v>0</v>
      </c>
      <c r="GO13" s="2">
        <v>0</v>
      </c>
      <c r="GP13" s="2">
        <v>1</v>
      </c>
      <c r="GQ13" s="2">
        <v>0</v>
      </c>
      <c r="GR13" s="2">
        <v>0</v>
      </c>
      <c r="GS13" s="2">
        <v>0</v>
      </c>
      <c r="GT13" s="2">
        <v>0</v>
      </c>
      <c r="GU13" s="2">
        <v>0</v>
      </c>
      <c r="GV13" s="2">
        <v>0</v>
      </c>
      <c r="ZT13" s="2"/>
      <c r="ZU13" s="2"/>
      <c r="ZV13" s="2"/>
      <c r="ZW13" s="2"/>
      <c r="ZX13" s="2"/>
      <c r="ZY13" s="2"/>
      <c r="ZZ13" s="2"/>
      <c r="AAA13" s="2"/>
      <c r="AAZ13" s="2"/>
      <c r="ABA13" s="2"/>
      <c r="ABB13" s="2"/>
      <c r="ABC13" s="2"/>
      <c r="ABD13" s="2"/>
      <c r="ABG13" s="2"/>
      <c r="ABH13" s="2"/>
      <c r="ABI13" s="2"/>
      <c r="ABJ13" s="2"/>
      <c r="ABK13" s="2"/>
      <c r="ABL13" s="2"/>
      <c r="ABM13" s="2"/>
      <c r="ABN13" s="2"/>
      <c r="ABO13" s="2"/>
      <c r="ABP13" s="2"/>
      <c r="ABQ13" s="2"/>
      <c r="ABR13" s="2"/>
      <c r="ABT13" s="2"/>
      <c r="ACH13" s="2"/>
      <c r="ACI13" s="2"/>
      <c r="ACJ13" s="2"/>
      <c r="ACK13" s="2"/>
      <c r="ACL13" s="2"/>
      <c r="ACN13" s="2"/>
      <c r="ACO13" s="2"/>
      <c r="ACS13" s="2"/>
      <c r="ACT13" s="2"/>
      <c r="ACU13" s="2"/>
      <c r="ACV13" s="2"/>
      <c r="ACW13" s="2"/>
      <c r="ACX13" s="2"/>
      <c r="ACY13" s="2"/>
      <c r="ADK13" s="2"/>
      <c r="ADL13" s="2"/>
      <c r="ADM13" s="2"/>
      <c r="ADN13" s="2"/>
      <c r="ADO13" s="2"/>
      <c r="AEI13" s="2"/>
      <c r="AEJ13" s="2"/>
      <c r="AEK13" s="2"/>
      <c r="AEL13" s="2"/>
      <c r="AEM13" s="2"/>
      <c r="AFF13" s="2"/>
      <c r="AFG13" s="2"/>
      <c r="AFH13" s="2"/>
      <c r="AFI13" s="2"/>
      <c r="AFJ13" s="2"/>
      <c r="AFO13" s="2"/>
      <c r="AFP13" s="2"/>
      <c r="AFQ13" s="2"/>
      <c r="AFR13" s="2"/>
      <c r="AFS13" s="2"/>
      <c r="AGE13" s="2"/>
      <c r="AGG13" s="2"/>
      <c r="AGH13" s="2"/>
      <c r="AGI13" s="2"/>
      <c r="AGJ13" s="2"/>
      <c r="AGK13" s="2"/>
      <c r="AGL13" s="2"/>
      <c r="AHL13" s="2"/>
      <c r="AHM13" s="2"/>
      <c r="AHN13" s="2"/>
      <c r="AHO13" s="2"/>
      <c r="AHP13" s="2"/>
      <c r="AHS13" s="2"/>
      <c r="AHT13" s="2"/>
      <c r="AHU13" s="2"/>
      <c r="AHV13" s="2"/>
      <c r="AHW13" s="2"/>
      <c r="AHX13" s="2"/>
      <c r="AHY13" s="2"/>
      <c r="AHZ13" s="2"/>
      <c r="AIA13" s="2"/>
      <c r="AIB13" s="2"/>
      <c r="AIC13" s="2"/>
      <c r="AIF13" s="2"/>
      <c r="AIG13" s="2"/>
      <c r="AIH13" s="2"/>
      <c r="AII13" s="2"/>
      <c r="AIJ13" s="2"/>
      <c r="AIK13" s="2"/>
      <c r="AIL13" s="2"/>
      <c r="AIM13" s="2"/>
      <c r="AIN13" s="2"/>
      <c r="AIO13" s="2"/>
      <c r="AIP13" s="2"/>
      <c r="AIQ13" s="2"/>
      <c r="AIR13" s="2"/>
      <c r="AIV13" s="2"/>
      <c r="AIW13" s="2"/>
      <c r="AIX13" s="2"/>
      <c r="AIY13" s="2"/>
      <c r="AIZ13" s="2"/>
      <c r="AJA13" s="2"/>
      <c r="AJB13" s="2"/>
      <c r="AJE13" s="2"/>
      <c r="AJF13" s="2"/>
      <c r="AJG13" s="2"/>
      <c r="AJH13" s="2"/>
      <c r="AJI13" s="2"/>
      <c r="AJJ13" s="2"/>
      <c r="AJK13" s="2"/>
      <c r="AJL13" s="2"/>
      <c r="AJM13" s="2"/>
      <c r="AJN13" s="2"/>
      <c r="AJO13" s="2"/>
      <c r="AJP13" s="2"/>
      <c r="AKA13" s="2"/>
      <c r="AKB13" s="2"/>
      <c r="AKC13" s="2"/>
      <c r="AKD13" s="2"/>
      <c r="AKE13" s="2"/>
      <c r="AKF13" s="2"/>
      <c r="AKG13" s="2"/>
      <c r="AKH13" s="2"/>
      <c r="AKI13" s="2"/>
      <c r="AKJ13" s="2"/>
      <c r="AKK13" s="2"/>
      <c r="AKL13" s="2"/>
      <c r="AVT13" s="1">
        <v>136622614</v>
      </c>
      <c r="AVU13" s="1" t="s">
        <v>2422</v>
      </c>
      <c r="AVW13" s="1">
        <v>253</v>
      </c>
    </row>
    <row r="14" spans="1:1271" x14ac:dyDescent="0.3">
      <c r="A14" s="1" t="s">
        <v>2423</v>
      </c>
      <c r="B14" s="1" t="s">
        <v>2424</v>
      </c>
      <c r="C14" s="1" t="s">
        <v>2425</v>
      </c>
      <c r="D14" s="1" t="s">
        <v>2345</v>
      </c>
      <c r="E14" s="1">
        <v>356676102907869</v>
      </c>
      <c r="F14" s="1" t="s">
        <v>2345</v>
      </c>
      <c r="H14" s="2"/>
      <c r="I14" s="1" t="s">
        <v>1659</v>
      </c>
      <c r="J14" s="1" t="s">
        <v>2346</v>
      </c>
      <c r="K14" s="1" t="s">
        <v>2346</v>
      </c>
      <c r="N14" s="1" t="s">
        <v>1153</v>
      </c>
      <c r="O14" s="2">
        <v>1</v>
      </c>
      <c r="P14" s="2">
        <v>0</v>
      </c>
      <c r="Q14" s="2">
        <v>0</v>
      </c>
      <c r="R14" s="2">
        <v>0</v>
      </c>
      <c r="S14" s="2">
        <v>0</v>
      </c>
      <c r="U14" s="1" t="s">
        <v>1840</v>
      </c>
      <c r="W14" s="1" t="s">
        <v>1156</v>
      </c>
      <c r="X14" s="1" t="s">
        <v>1156</v>
      </c>
      <c r="AN14" s="1" t="s">
        <v>1182</v>
      </c>
      <c r="AO14" s="1">
        <v>158</v>
      </c>
      <c r="AP14" s="1" t="s">
        <v>2145</v>
      </c>
      <c r="AR14" s="1" t="s">
        <v>1710</v>
      </c>
      <c r="AS14" s="1" t="s">
        <v>1841</v>
      </c>
      <c r="AT14" s="1" t="s">
        <v>1155</v>
      </c>
      <c r="BO14" s="1" t="s">
        <v>2396</v>
      </c>
      <c r="BP14" s="1">
        <v>0</v>
      </c>
      <c r="BQ14" s="1">
        <v>0</v>
      </c>
      <c r="BR14" s="1">
        <v>0</v>
      </c>
      <c r="BS14" s="1">
        <v>0</v>
      </c>
      <c r="BT14" s="1">
        <v>0</v>
      </c>
      <c r="BU14" s="1">
        <v>1</v>
      </c>
      <c r="BV14" s="1">
        <v>0</v>
      </c>
      <c r="BW14" s="1">
        <v>0</v>
      </c>
      <c r="BX14" s="1">
        <v>0</v>
      </c>
      <c r="BY14" s="1">
        <v>0</v>
      </c>
      <c r="BZ14" s="1">
        <v>0</v>
      </c>
      <c r="CA14" s="1">
        <v>0</v>
      </c>
      <c r="CB14" s="1" t="s">
        <v>2426</v>
      </c>
      <c r="CC14" s="1" t="s">
        <v>1155</v>
      </c>
      <c r="DQ14" s="1" t="s">
        <v>1162</v>
      </c>
      <c r="DR14" s="2">
        <v>0</v>
      </c>
      <c r="DS14" s="2">
        <v>0</v>
      </c>
      <c r="DT14" s="2">
        <v>1</v>
      </c>
      <c r="DU14" s="2">
        <v>0</v>
      </c>
      <c r="DV14" s="2">
        <v>0</v>
      </c>
      <c r="DX14" s="1" t="s">
        <v>1164</v>
      </c>
      <c r="DY14" s="2">
        <v>0</v>
      </c>
      <c r="DZ14" s="2">
        <v>0</v>
      </c>
      <c r="EA14" s="2">
        <v>0</v>
      </c>
      <c r="EB14" s="2">
        <v>0</v>
      </c>
      <c r="EC14" s="2">
        <v>0</v>
      </c>
      <c r="ED14" s="2">
        <v>0</v>
      </c>
      <c r="EE14" s="2">
        <v>0</v>
      </c>
      <c r="EF14" s="2">
        <v>0</v>
      </c>
      <c r="EG14" s="2">
        <v>0</v>
      </c>
      <c r="EH14" s="2">
        <v>1</v>
      </c>
      <c r="EI14" s="2">
        <v>0</v>
      </c>
      <c r="EJ14" s="2">
        <v>0</v>
      </c>
      <c r="EK14" s="2">
        <v>0</v>
      </c>
      <c r="EM14" s="1" t="s">
        <v>2759</v>
      </c>
      <c r="EN14" s="2">
        <v>0</v>
      </c>
      <c r="EO14" s="2">
        <v>0</v>
      </c>
      <c r="EP14" s="2">
        <v>0</v>
      </c>
      <c r="EQ14" s="2">
        <v>0</v>
      </c>
      <c r="ER14" s="2">
        <v>1</v>
      </c>
      <c r="ES14" s="2">
        <v>0</v>
      </c>
      <c r="ET14" s="2">
        <v>0</v>
      </c>
      <c r="EU14" s="2">
        <v>0</v>
      </c>
      <c r="EV14" s="2">
        <v>0</v>
      </c>
      <c r="EW14" s="2">
        <v>0</v>
      </c>
      <c r="EX14" s="2">
        <v>0</v>
      </c>
      <c r="EY14" s="2">
        <v>0</v>
      </c>
      <c r="EZ14" s="2">
        <v>0</v>
      </c>
      <c r="FA14" s="1" t="s">
        <v>2426</v>
      </c>
      <c r="FB14" s="1" t="s">
        <v>1155</v>
      </c>
      <c r="GI14" s="1" t="s">
        <v>2427</v>
      </c>
      <c r="GJ14" s="2">
        <v>0</v>
      </c>
      <c r="GK14" s="2">
        <v>0</v>
      </c>
      <c r="GL14" s="2">
        <v>1</v>
      </c>
      <c r="GM14" s="2">
        <v>0</v>
      </c>
      <c r="GN14" s="2">
        <v>0</v>
      </c>
      <c r="GO14" s="2">
        <v>0</v>
      </c>
      <c r="GP14" s="2">
        <v>0</v>
      </c>
      <c r="GQ14" s="2">
        <v>0</v>
      </c>
      <c r="GR14" s="2">
        <v>0</v>
      </c>
      <c r="GS14" s="2">
        <v>0</v>
      </c>
      <c r="GT14" s="2">
        <v>0</v>
      </c>
      <c r="GU14" s="2">
        <v>0</v>
      </c>
      <c r="GV14" s="2">
        <v>0</v>
      </c>
      <c r="AAZ14" s="2"/>
      <c r="ABA14" s="2"/>
      <c r="ABB14" s="2"/>
      <c r="ABC14" s="2"/>
      <c r="ABD14" s="2"/>
      <c r="ABG14" s="2"/>
      <c r="ABH14" s="2"/>
      <c r="ABI14" s="2"/>
      <c r="ABJ14" s="2"/>
      <c r="ABK14" s="2"/>
      <c r="ABL14" s="2"/>
      <c r="ABM14" s="2"/>
      <c r="ABN14" s="2"/>
      <c r="ABO14" s="2"/>
      <c r="ABP14" s="2"/>
      <c r="ABQ14" s="2"/>
      <c r="ABR14" s="2"/>
      <c r="ABT14" s="2"/>
      <c r="ACH14" s="2"/>
      <c r="ACI14" s="2"/>
      <c r="ACJ14" s="2"/>
      <c r="ACK14" s="2"/>
      <c r="ACL14" s="2"/>
      <c r="ACN14" s="2"/>
      <c r="ACO14" s="2"/>
      <c r="ACS14" s="2"/>
      <c r="ACT14" s="2"/>
      <c r="ACU14" s="2"/>
      <c r="ACV14" s="2"/>
      <c r="ACW14" s="2"/>
      <c r="ACX14" s="2"/>
      <c r="ACY14" s="2"/>
      <c r="ADK14" s="2"/>
      <c r="ADL14" s="2"/>
      <c r="ADM14" s="2"/>
      <c r="ADN14" s="2"/>
      <c r="ADO14" s="2"/>
      <c r="AEI14" s="2"/>
      <c r="AEJ14" s="2"/>
      <c r="AEK14" s="2"/>
      <c r="AEL14" s="2"/>
      <c r="AEM14" s="2"/>
      <c r="AFF14" s="2"/>
      <c r="AFG14" s="2"/>
      <c r="AFH14" s="2"/>
      <c r="AFI14" s="2"/>
      <c r="AFJ14" s="2"/>
      <c r="AHL14" s="2"/>
      <c r="AHM14" s="2"/>
      <c r="AHN14" s="2"/>
      <c r="AHO14" s="2"/>
      <c r="AHP14" s="2"/>
      <c r="AHS14" s="2"/>
      <c r="AHT14" s="2"/>
      <c r="AHU14" s="2"/>
      <c r="AHV14" s="2"/>
      <c r="AHW14" s="2"/>
      <c r="AHX14" s="2"/>
      <c r="AHY14" s="2"/>
      <c r="AHZ14" s="2"/>
      <c r="AIA14" s="2"/>
      <c r="AIB14" s="2"/>
      <c r="AIC14" s="2"/>
      <c r="AIF14" s="2"/>
      <c r="AIG14" s="2"/>
      <c r="AIH14" s="2"/>
      <c r="AII14" s="2"/>
      <c r="AIJ14" s="2"/>
      <c r="AIK14" s="2"/>
      <c r="AIL14" s="2"/>
      <c r="AIM14" s="2"/>
      <c r="AIN14" s="2"/>
      <c r="AIO14" s="2"/>
      <c r="AIP14" s="2"/>
      <c r="AIQ14" s="2"/>
      <c r="AIR14" s="2"/>
      <c r="AKA14" s="2"/>
      <c r="AKB14" s="2"/>
      <c r="AKC14" s="2"/>
      <c r="AKD14" s="2"/>
      <c r="AKE14" s="2"/>
      <c r="AKF14" s="2"/>
      <c r="AKG14" s="2"/>
      <c r="AKH14" s="2"/>
      <c r="AKI14" s="2"/>
      <c r="AKJ14" s="2"/>
      <c r="AKK14" s="2"/>
      <c r="AKL14" s="2"/>
      <c r="AVT14" s="1">
        <v>136622636</v>
      </c>
      <c r="AVU14" s="1" t="s">
        <v>2428</v>
      </c>
      <c r="AVW14" s="1">
        <v>254</v>
      </c>
    </row>
    <row r="15" spans="1:1271" x14ac:dyDescent="0.3">
      <c r="A15" s="1" t="s">
        <v>2429</v>
      </c>
      <c r="B15" s="1" t="s">
        <v>2430</v>
      </c>
      <c r="C15" s="1" t="s">
        <v>2431</v>
      </c>
      <c r="D15" s="1" t="s">
        <v>2345</v>
      </c>
      <c r="E15" s="1">
        <v>356676102907869</v>
      </c>
      <c r="F15" s="1" t="s">
        <v>2345</v>
      </c>
      <c r="H15" s="2"/>
      <c r="I15" s="1" t="s">
        <v>1659</v>
      </c>
      <c r="J15" s="1" t="s">
        <v>2346</v>
      </c>
      <c r="K15" s="1" t="s">
        <v>2346</v>
      </c>
      <c r="N15" s="1" t="s">
        <v>1153</v>
      </c>
      <c r="O15" s="2">
        <v>1</v>
      </c>
      <c r="P15" s="2">
        <v>0</v>
      </c>
      <c r="Q15" s="2">
        <v>0</v>
      </c>
      <c r="R15" s="2">
        <v>0</v>
      </c>
      <c r="S15" s="2">
        <v>0</v>
      </c>
      <c r="U15" s="1" t="s">
        <v>1190</v>
      </c>
      <c r="W15" s="1" t="s">
        <v>1156</v>
      </c>
      <c r="X15" s="1" t="s">
        <v>1708</v>
      </c>
      <c r="Y15" s="1" t="s">
        <v>2291</v>
      </c>
      <c r="AA15" s="1" t="s">
        <v>2292</v>
      </c>
      <c r="AN15" s="1" t="s">
        <v>1182</v>
      </c>
      <c r="AO15" s="1">
        <v>150</v>
      </c>
      <c r="AP15" s="1" t="s">
        <v>2145</v>
      </c>
      <c r="AR15" s="1" t="s">
        <v>1710</v>
      </c>
      <c r="AS15" s="1" t="s">
        <v>1841</v>
      </c>
      <c r="AT15" s="1" t="s">
        <v>1155</v>
      </c>
      <c r="BO15" s="1" t="s">
        <v>2396</v>
      </c>
      <c r="BP15" s="1">
        <v>0</v>
      </c>
      <c r="BQ15" s="1">
        <v>0</v>
      </c>
      <c r="BR15" s="1">
        <v>0</v>
      </c>
      <c r="BS15" s="1">
        <v>0</v>
      </c>
      <c r="BT15" s="1">
        <v>0</v>
      </c>
      <c r="BU15" s="1">
        <v>1</v>
      </c>
      <c r="BV15" s="1">
        <v>0</v>
      </c>
      <c r="BW15" s="1">
        <v>0</v>
      </c>
      <c r="BX15" s="1">
        <v>0</v>
      </c>
      <c r="BY15" s="1">
        <v>0</v>
      </c>
      <c r="BZ15" s="1">
        <v>0</v>
      </c>
      <c r="CA15" s="1">
        <v>0</v>
      </c>
      <c r="CB15" s="1" t="s">
        <v>2432</v>
      </c>
      <c r="CC15" s="1" t="s">
        <v>1155</v>
      </c>
      <c r="DQ15" s="1" t="s">
        <v>1162</v>
      </c>
      <c r="DR15" s="2">
        <v>0</v>
      </c>
      <c r="DS15" s="2">
        <v>0</v>
      </c>
      <c r="DT15" s="2">
        <v>1</v>
      </c>
      <c r="DU15" s="2">
        <v>0</v>
      </c>
      <c r="DV15" s="2">
        <v>0</v>
      </c>
      <c r="DX15" s="1" t="s">
        <v>2369</v>
      </c>
      <c r="DY15" s="2">
        <v>0</v>
      </c>
      <c r="DZ15" s="2">
        <v>0</v>
      </c>
      <c r="EA15" s="2">
        <v>0</v>
      </c>
      <c r="EB15" s="2">
        <v>0</v>
      </c>
      <c r="EC15" s="2">
        <v>0</v>
      </c>
      <c r="ED15" s="2">
        <v>0</v>
      </c>
      <c r="EE15" s="2">
        <v>0</v>
      </c>
      <c r="EF15" s="2">
        <v>0</v>
      </c>
      <c r="EG15" s="2">
        <v>1</v>
      </c>
      <c r="EH15" s="2">
        <v>0</v>
      </c>
      <c r="EI15" s="2">
        <v>0</v>
      </c>
      <c r="EJ15" s="2">
        <v>0</v>
      </c>
      <c r="EK15" s="2">
        <v>0</v>
      </c>
      <c r="EM15" s="1" t="s">
        <v>1194</v>
      </c>
      <c r="EN15" s="2">
        <v>0</v>
      </c>
      <c r="EO15" s="2">
        <v>0</v>
      </c>
      <c r="EP15" s="2">
        <v>0</v>
      </c>
      <c r="EQ15" s="2">
        <v>0</v>
      </c>
      <c r="ER15" s="2">
        <v>1</v>
      </c>
      <c r="ES15" s="2">
        <v>0</v>
      </c>
      <c r="ET15" s="2">
        <v>0</v>
      </c>
      <c r="EU15" s="2">
        <v>0</v>
      </c>
      <c r="EV15" s="2">
        <v>0</v>
      </c>
      <c r="EW15" s="2">
        <v>0</v>
      </c>
      <c r="EX15" s="2">
        <v>0</v>
      </c>
      <c r="EY15" s="2">
        <v>0</v>
      </c>
      <c r="EZ15" s="2">
        <v>0</v>
      </c>
      <c r="FB15" s="1" t="s">
        <v>1155</v>
      </c>
      <c r="GI15" s="1" t="s">
        <v>2427</v>
      </c>
      <c r="GJ15" s="2">
        <v>0</v>
      </c>
      <c r="GK15" s="2">
        <v>0</v>
      </c>
      <c r="GL15" s="2">
        <v>1</v>
      </c>
      <c r="GM15" s="2">
        <v>0</v>
      </c>
      <c r="GN15" s="2">
        <v>0</v>
      </c>
      <c r="GO15" s="2">
        <v>0</v>
      </c>
      <c r="GP15" s="2">
        <v>0</v>
      </c>
      <c r="GQ15" s="2">
        <v>0</v>
      </c>
      <c r="GR15" s="2">
        <v>0</v>
      </c>
      <c r="GS15" s="2">
        <v>0</v>
      </c>
      <c r="GT15" s="2">
        <v>0</v>
      </c>
      <c r="GU15" s="2">
        <v>0</v>
      </c>
      <c r="GV15" s="2">
        <v>0</v>
      </c>
      <c r="ALG15" s="2"/>
      <c r="ALH15" s="2"/>
      <c r="ALI15" s="2"/>
      <c r="ALJ15" s="2"/>
      <c r="ALK15" s="2"/>
      <c r="ALL15" s="2"/>
      <c r="ALM15" s="2"/>
      <c r="ALN15" s="2"/>
      <c r="ALQ15" s="2"/>
      <c r="ALR15" s="2"/>
      <c r="ALS15" s="2"/>
      <c r="ALT15" s="2"/>
      <c r="ALU15" s="2"/>
      <c r="ALV15" s="2"/>
      <c r="ALW15" s="2"/>
      <c r="ALY15" s="2"/>
      <c r="ALZ15" s="2"/>
      <c r="AMA15" s="2"/>
      <c r="AMB15" s="2"/>
      <c r="AMC15" s="2"/>
      <c r="AMO15" s="2"/>
      <c r="AMS15" s="2"/>
      <c r="AMT15" s="2"/>
      <c r="AMU15" s="2"/>
      <c r="AMV15" s="2"/>
      <c r="AMW15" s="2"/>
      <c r="AMX15" s="2"/>
      <c r="AMY15" s="2"/>
      <c r="AMZ15" s="2"/>
      <c r="ANA15" s="2"/>
      <c r="ANS15" s="2"/>
      <c r="ANT15" s="2"/>
      <c r="ANU15" s="2"/>
      <c r="ANV15" s="2"/>
      <c r="ANW15" s="2"/>
      <c r="ANX15" s="2"/>
      <c r="ANY15" s="2"/>
      <c r="ANZ15" s="2"/>
      <c r="AOH15" s="2"/>
      <c r="AOI15" s="2"/>
      <c r="AOJ15" s="2"/>
      <c r="AOK15" s="2"/>
      <c r="AOL15" s="2"/>
      <c r="AOM15" s="2"/>
      <c r="AON15" s="2"/>
      <c r="AOO15" s="2"/>
      <c r="AOU15" s="2"/>
      <c r="AOV15" s="2"/>
      <c r="APA15" s="2"/>
      <c r="APB15" s="2"/>
      <c r="APC15" s="2"/>
      <c r="APD15" s="2"/>
      <c r="APE15" s="2"/>
      <c r="APF15" s="2"/>
      <c r="APG15" s="2"/>
      <c r="APS15" s="2"/>
      <c r="APT15" s="2"/>
      <c r="APU15" s="2"/>
      <c r="APV15" s="2"/>
      <c r="APW15" s="2"/>
      <c r="APX15" s="2"/>
      <c r="AQA15" s="2"/>
      <c r="AQZ15" s="2"/>
      <c r="ARA15" s="2"/>
      <c r="ARB15" s="2"/>
      <c r="ARC15" s="2"/>
      <c r="ARD15" s="2"/>
      <c r="ARE15" s="2"/>
      <c r="ARF15" s="2"/>
      <c r="ARG15" s="2"/>
      <c r="ARH15" s="2"/>
      <c r="ARI15" s="2"/>
      <c r="ARJ15" s="2"/>
      <c r="ARK15" s="2"/>
      <c r="ARN15" s="2"/>
      <c r="ARO15" s="2"/>
      <c r="ARP15" s="2"/>
      <c r="ARQ15" s="2"/>
      <c r="ARR15" s="2"/>
      <c r="ARS15" s="2"/>
      <c r="ART15" s="2"/>
      <c r="ARU15" s="57"/>
      <c r="ASG15" s="2"/>
      <c r="ASH15" s="2"/>
      <c r="ASI15" s="2"/>
      <c r="ASJ15" s="2"/>
      <c r="ASK15" s="2"/>
      <c r="ASN15" s="2"/>
      <c r="ASO15" s="2"/>
      <c r="ASP15" s="2"/>
      <c r="ASQ15" s="2"/>
      <c r="ASR15" s="2"/>
      <c r="ASS15" s="2"/>
      <c r="AST15" s="2"/>
      <c r="ASU15" s="2"/>
      <c r="ASV15" s="2"/>
      <c r="ASW15" s="2"/>
      <c r="ASX15" s="2"/>
      <c r="ASY15" s="2"/>
      <c r="ASZ15" s="2"/>
      <c r="ATC15" s="2"/>
      <c r="ATD15" s="2"/>
      <c r="ATE15" s="2"/>
      <c r="ATF15" s="2"/>
      <c r="ATG15" s="2"/>
      <c r="ATH15" s="2"/>
      <c r="ATI15" s="2"/>
      <c r="ATJ15" s="2"/>
      <c r="ATK15" s="2"/>
      <c r="ATL15" s="2"/>
      <c r="ATM15" s="2"/>
      <c r="ATN15" s="2"/>
      <c r="ATO15" s="2"/>
      <c r="ATP15" s="2"/>
      <c r="ATQ15" s="2"/>
      <c r="ATR15" s="2"/>
      <c r="ATS15" s="2"/>
      <c r="AUZ15" s="2"/>
      <c r="AVA15" s="2"/>
      <c r="AVB15" s="2"/>
      <c r="AVC15" s="2"/>
      <c r="AVD15" s="2"/>
      <c r="AVE15" s="2"/>
      <c r="AVF15" s="2"/>
      <c r="AVG15" s="2"/>
      <c r="AVH15" s="2"/>
      <c r="AVT15" s="1">
        <v>136622654</v>
      </c>
      <c r="AVU15" s="1" t="s">
        <v>2433</v>
      </c>
      <c r="AVW15" s="1">
        <v>255</v>
      </c>
    </row>
    <row r="16" spans="1:1271" x14ac:dyDescent="0.3">
      <c r="A16" s="1" t="s">
        <v>2434</v>
      </c>
      <c r="B16" s="1" t="s">
        <v>2435</v>
      </c>
      <c r="C16" s="1" t="s">
        <v>2436</v>
      </c>
      <c r="D16" s="1" t="s">
        <v>2345</v>
      </c>
      <c r="E16" s="1">
        <v>356676102907869</v>
      </c>
      <c r="F16" s="1" t="s">
        <v>2345</v>
      </c>
      <c r="H16" s="2"/>
      <c r="I16" s="1" t="s">
        <v>1659</v>
      </c>
      <c r="J16" s="1" t="s">
        <v>2346</v>
      </c>
      <c r="K16" s="1" t="s">
        <v>2346</v>
      </c>
      <c r="N16" s="1" t="s">
        <v>1153</v>
      </c>
      <c r="O16" s="2">
        <v>1</v>
      </c>
      <c r="P16" s="2">
        <v>0</v>
      </c>
      <c r="Q16" s="2">
        <v>0</v>
      </c>
      <c r="R16" s="2">
        <v>0</v>
      </c>
      <c r="S16" s="2">
        <v>0</v>
      </c>
      <c r="U16" s="1" t="s">
        <v>1840</v>
      </c>
      <c r="W16" s="1" t="s">
        <v>1156</v>
      </c>
      <c r="X16" s="1" t="s">
        <v>1156</v>
      </c>
      <c r="AM16" s="2"/>
      <c r="AN16" s="1" t="s">
        <v>1182</v>
      </c>
      <c r="AO16" s="1">
        <v>650</v>
      </c>
      <c r="AP16" s="1" t="s">
        <v>2145</v>
      </c>
      <c r="AR16" s="1" t="s">
        <v>1710</v>
      </c>
      <c r="AS16" s="1" t="s">
        <v>2437</v>
      </c>
      <c r="AT16" s="1" t="s">
        <v>1155</v>
      </c>
      <c r="AU16" s="2"/>
      <c r="AV16" s="2"/>
      <c r="AW16" s="2"/>
      <c r="AX16" s="2"/>
      <c r="AY16" s="2"/>
      <c r="AZ16" s="2"/>
      <c r="BA16" s="2"/>
      <c r="BB16" s="2"/>
      <c r="BN16" s="2"/>
      <c r="BO16" s="2" t="s">
        <v>2396</v>
      </c>
      <c r="BP16" s="2">
        <v>0</v>
      </c>
      <c r="BQ16" s="2">
        <v>0</v>
      </c>
      <c r="BR16" s="2">
        <v>0</v>
      </c>
      <c r="BS16" s="2">
        <v>0</v>
      </c>
      <c r="BT16" s="2">
        <v>0</v>
      </c>
      <c r="BU16" s="2">
        <v>1</v>
      </c>
      <c r="BV16" s="2">
        <v>0</v>
      </c>
      <c r="BW16" s="2">
        <v>0</v>
      </c>
      <c r="BX16" s="2">
        <v>0</v>
      </c>
      <c r="BY16" s="2">
        <v>0</v>
      </c>
      <c r="BZ16" s="1">
        <v>0</v>
      </c>
      <c r="CA16" s="1">
        <v>0</v>
      </c>
      <c r="CB16" s="1" t="s">
        <v>2426</v>
      </c>
      <c r="CC16" s="1" t="s">
        <v>1155</v>
      </c>
      <c r="DP16" s="2"/>
      <c r="DQ16" s="2" t="s">
        <v>1162</v>
      </c>
      <c r="DR16" s="2">
        <v>0</v>
      </c>
      <c r="DS16" s="2">
        <v>0</v>
      </c>
      <c r="DT16" s="2">
        <v>1</v>
      </c>
      <c r="DU16" s="2">
        <v>0</v>
      </c>
      <c r="DV16" s="2">
        <v>0</v>
      </c>
      <c r="DW16" s="2"/>
      <c r="DX16" s="2" t="s">
        <v>2369</v>
      </c>
      <c r="DY16" s="2">
        <v>0</v>
      </c>
      <c r="DZ16" s="2">
        <v>0</v>
      </c>
      <c r="EA16" s="2">
        <v>0</v>
      </c>
      <c r="EB16" s="2">
        <v>0</v>
      </c>
      <c r="EC16" s="2">
        <v>0</v>
      </c>
      <c r="ED16" s="2">
        <v>0</v>
      </c>
      <c r="EE16" s="2">
        <v>0</v>
      </c>
      <c r="EF16" s="2">
        <v>0</v>
      </c>
      <c r="EG16" s="2">
        <v>1</v>
      </c>
      <c r="EH16" s="2">
        <v>0</v>
      </c>
      <c r="EI16" s="2">
        <v>0</v>
      </c>
      <c r="EJ16" s="2">
        <v>0</v>
      </c>
      <c r="EK16" s="2">
        <v>0</v>
      </c>
      <c r="EL16" s="2"/>
      <c r="EM16" s="2" t="s">
        <v>1194</v>
      </c>
      <c r="EN16" s="2">
        <v>0</v>
      </c>
      <c r="EO16" s="2">
        <v>0</v>
      </c>
      <c r="EP16" s="2">
        <v>0</v>
      </c>
      <c r="EQ16" s="2">
        <v>0</v>
      </c>
      <c r="ER16" s="2">
        <v>1</v>
      </c>
      <c r="ES16" s="2">
        <v>0</v>
      </c>
      <c r="ET16" s="2">
        <v>0</v>
      </c>
      <c r="EU16" s="2">
        <v>0</v>
      </c>
      <c r="EV16" s="2">
        <v>0</v>
      </c>
      <c r="EW16" s="2">
        <v>0</v>
      </c>
      <c r="EX16" s="2">
        <v>0</v>
      </c>
      <c r="EY16" s="2">
        <v>0</v>
      </c>
      <c r="EZ16" s="2">
        <v>0</v>
      </c>
      <c r="FA16" s="1" t="s">
        <v>2421</v>
      </c>
      <c r="FB16" s="1" t="s">
        <v>1155</v>
      </c>
      <c r="GH16" s="2"/>
      <c r="GI16" s="2" t="s">
        <v>2427</v>
      </c>
      <c r="GJ16" s="2">
        <v>0</v>
      </c>
      <c r="GK16" s="2">
        <v>0</v>
      </c>
      <c r="GL16" s="2">
        <v>1</v>
      </c>
      <c r="GM16" s="2">
        <v>0</v>
      </c>
      <c r="GN16" s="2">
        <v>0</v>
      </c>
      <c r="GO16" s="2">
        <v>0</v>
      </c>
      <c r="GP16" s="2">
        <v>0</v>
      </c>
      <c r="GQ16" s="2">
        <v>0</v>
      </c>
      <c r="GR16" s="2">
        <v>0</v>
      </c>
      <c r="GS16" s="2">
        <v>0</v>
      </c>
      <c r="GT16" s="2">
        <v>0</v>
      </c>
      <c r="GU16" s="2">
        <v>0</v>
      </c>
      <c r="GV16" s="2">
        <v>0</v>
      </c>
      <c r="AVT16" s="1">
        <v>136622672</v>
      </c>
      <c r="AVU16" s="1" t="s">
        <v>2438</v>
      </c>
      <c r="AVW16" s="1">
        <v>256</v>
      </c>
    </row>
    <row r="17" spans="1:1271" x14ac:dyDescent="0.3">
      <c r="A17" s="1" t="s">
        <v>2439</v>
      </c>
      <c r="B17" s="1" t="s">
        <v>2440</v>
      </c>
      <c r="C17" s="1" t="s">
        <v>2441</v>
      </c>
      <c r="D17" s="1" t="s">
        <v>2442</v>
      </c>
      <c r="E17" s="1">
        <v>356676102907869</v>
      </c>
      <c r="F17" s="1" t="s">
        <v>2442</v>
      </c>
      <c r="H17" s="2"/>
      <c r="I17" s="1" t="s">
        <v>1659</v>
      </c>
      <c r="J17" s="1" t="s">
        <v>2346</v>
      </c>
      <c r="K17" s="1" t="s">
        <v>2346</v>
      </c>
      <c r="N17" s="1" t="s">
        <v>1170</v>
      </c>
      <c r="O17" s="2">
        <v>0</v>
      </c>
      <c r="P17" s="2">
        <v>0</v>
      </c>
      <c r="Q17" s="2">
        <v>1</v>
      </c>
      <c r="R17" s="2">
        <v>0</v>
      </c>
      <c r="S17" s="2">
        <v>0</v>
      </c>
      <c r="AM17" s="2"/>
      <c r="AU17" s="2"/>
      <c r="AV17" s="2"/>
      <c r="AW17" s="2"/>
      <c r="AX17" s="2"/>
      <c r="AY17" s="2"/>
      <c r="AZ17" s="2"/>
      <c r="BA17" s="2"/>
      <c r="BB17" s="2"/>
      <c r="BN17" s="2"/>
      <c r="BO17" s="2"/>
      <c r="BP17" s="2"/>
      <c r="BQ17" s="2"/>
      <c r="BR17" s="2"/>
      <c r="BS17" s="2"/>
      <c r="BT17" s="2"/>
      <c r="BU17" s="2"/>
      <c r="BV17" s="2"/>
      <c r="BW17" s="2"/>
      <c r="BX17" s="2"/>
      <c r="BY17" s="2"/>
      <c r="DP17" s="2"/>
      <c r="DQ17" s="2"/>
      <c r="DR17" s="2"/>
      <c r="DS17" s="2"/>
      <c r="DT17" s="2"/>
      <c r="DW17" s="2"/>
      <c r="DX17" s="2"/>
      <c r="DY17" s="2"/>
      <c r="DZ17" s="2"/>
      <c r="EA17" s="2"/>
      <c r="EB17" s="2"/>
      <c r="EC17" s="2"/>
      <c r="ED17" s="2"/>
      <c r="EE17" s="2"/>
      <c r="EF17" s="2"/>
      <c r="EG17" s="2"/>
      <c r="EH17" s="2"/>
      <c r="EI17" s="2"/>
      <c r="EL17" s="2"/>
      <c r="EM17" s="2"/>
      <c r="EN17" s="2"/>
      <c r="EO17" s="2"/>
      <c r="EP17" s="2"/>
      <c r="EQ17" s="2"/>
      <c r="ER17" s="2"/>
      <c r="ES17" s="2"/>
      <c r="ET17" s="2"/>
      <c r="EU17" s="2"/>
      <c r="EV17" s="2"/>
      <c r="EW17" s="2"/>
      <c r="EX17" s="2"/>
      <c r="GH17" s="2"/>
      <c r="GI17" s="2"/>
      <c r="GJ17" s="2"/>
      <c r="GK17" s="2"/>
      <c r="GL17" s="2"/>
      <c r="GM17" s="2"/>
      <c r="GN17" s="2"/>
      <c r="GO17" s="2"/>
      <c r="GP17" s="2"/>
      <c r="GQ17" s="2"/>
      <c r="GR17" s="2"/>
      <c r="GS17" s="2"/>
      <c r="GT17" s="2"/>
      <c r="ZS17" s="1" t="s">
        <v>2443</v>
      </c>
      <c r="ZT17" s="63" t="s">
        <v>1171</v>
      </c>
      <c r="ZV17" s="1" t="s">
        <v>1172</v>
      </c>
      <c r="ZX17" s="1" t="s">
        <v>1156</v>
      </c>
      <c r="ABE17" s="1" t="s">
        <v>1173</v>
      </c>
      <c r="ABF17" s="1">
        <v>1</v>
      </c>
      <c r="ABG17" s="1">
        <v>0</v>
      </c>
      <c r="ABH17" s="1">
        <v>0</v>
      </c>
      <c r="ABI17" s="1">
        <v>0</v>
      </c>
      <c r="ABJ17" s="1">
        <v>0</v>
      </c>
      <c r="ABL17" s="1" t="s">
        <v>2396</v>
      </c>
      <c r="ABM17" s="1">
        <v>0</v>
      </c>
      <c r="ABN17" s="1">
        <v>0</v>
      </c>
      <c r="ABO17" s="1">
        <v>0</v>
      </c>
      <c r="ABP17" s="1">
        <v>0</v>
      </c>
      <c r="ABQ17" s="1">
        <v>0</v>
      </c>
      <c r="ABR17" s="1">
        <v>1</v>
      </c>
      <c r="ABS17" s="1">
        <v>0</v>
      </c>
      <c r="ABT17" s="1">
        <v>0</v>
      </c>
      <c r="ABU17" s="1">
        <v>1</v>
      </c>
      <c r="ABV17" s="1">
        <v>0</v>
      </c>
      <c r="ABW17" s="1">
        <v>0</v>
      </c>
      <c r="ABX17" s="1">
        <v>0</v>
      </c>
      <c r="ABY17" s="1" t="s">
        <v>2825</v>
      </c>
      <c r="ABZ17" s="1">
        <v>14</v>
      </c>
      <c r="ACA17" s="1" t="s">
        <v>1156</v>
      </c>
      <c r="ACB17" s="1">
        <v>4</v>
      </c>
      <c r="ACC17" s="1" t="s">
        <v>1155</v>
      </c>
      <c r="ACI17" s="1" t="s">
        <v>1155</v>
      </c>
      <c r="ACJ17" s="1" t="s">
        <v>1155</v>
      </c>
      <c r="ACM17" s="1" t="s">
        <v>1155</v>
      </c>
      <c r="ACN17" s="1">
        <v>1752</v>
      </c>
      <c r="ACO17" s="1">
        <v>649</v>
      </c>
      <c r="ACP17" s="1">
        <v>1103</v>
      </c>
      <c r="ACQ17" s="1">
        <v>1103</v>
      </c>
      <c r="ACR17" s="1">
        <v>1752</v>
      </c>
      <c r="ACT17" s="1">
        <v>7</v>
      </c>
      <c r="ACU17" s="1">
        <v>18</v>
      </c>
      <c r="ACV17" s="1" t="s">
        <v>1155</v>
      </c>
      <c r="ADQ17" s="1">
        <v>2</v>
      </c>
      <c r="ADR17" s="1">
        <v>0</v>
      </c>
      <c r="ADS17" s="1">
        <v>2</v>
      </c>
      <c r="ADT17" s="1">
        <v>2</v>
      </c>
      <c r="ADU17" s="1">
        <v>2</v>
      </c>
      <c r="ADW17" s="1" t="s">
        <v>1155</v>
      </c>
      <c r="AEO17" s="1">
        <v>9</v>
      </c>
      <c r="AEP17" s="1">
        <v>1</v>
      </c>
      <c r="AEQ17" s="1">
        <v>8</v>
      </c>
      <c r="AER17" s="1">
        <v>8</v>
      </c>
      <c r="AES17" s="1">
        <v>9</v>
      </c>
      <c r="AEU17" s="1" t="s">
        <v>1155</v>
      </c>
      <c r="AFL17" s="1">
        <v>9</v>
      </c>
      <c r="AFM17" s="1">
        <v>1</v>
      </c>
      <c r="AFN17" s="1">
        <v>8</v>
      </c>
      <c r="AFO17" s="1">
        <v>8</v>
      </c>
      <c r="AFP17" s="1">
        <v>9</v>
      </c>
      <c r="AFR17" s="1" t="s">
        <v>1155</v>
      </c>
      <c r="AGH17" s="1" t="s">
        <v>1187</v>
      </c>
      <c r="AGI17" s="1" t="s">
        <v>1187</v>
      </c>
      <c r="AGJ17" s="1" t="s">
        <v>1155</v>
      </c>
      <c r="AHQ17" s="1" t="s">
        <v>1164</v>
      </c>
      <c r="AHR17" s="1">
        <v>0</v>
      </c>
      <c r="AHS17" s="1">
        <v>0</v>
      </c>
      <c r="AHT17" s="1">
        <v>0</v>
      </c>
      <c r="AHU17" s="1">
        <v>0</v>
      </c>
      <c r="AHV17" s="1">
        <v>1</v>
      </c>
      <c r="AHX17" s="1" t="s">
        <v>2444</v>
      </c>
      <c r="AHY17" s="1">
        <v>1</v>
      </c>
      <c r="AHZ17" s="1">
        <v>1</v>
      </c>
      <c r="AIA17" s="1">
        <v>1</v>
      </c>
      <c r="AIB17" s="1">
        <v>1</v>
      </c>
      <c r="AIC17" s="1">
        <v>1</v>
      </c>
      <c r="AID17" s="1">
        <v>1</v>
      </c>
      <c r="AIE17" s="1">
        <v>0</v>
      </c>
      <c r="AIF17" s="1">
        <v>0</v>
      </c>
      <c r="AIG17" s="1">
        <v>0</v>
      </c>
      <c r="AIH17" s="1">
        <v>0</v>
      </c>
      <c r="AII17" s="1">
        <v>0</v>
      </c>
      <c r="AIK17" s="1" t="s">
        <v>1164</v>
      </c>
      <c r="AIL17" s="1">
        <v>0</v>
      </c>
      <c r="AIM17" s="1">
        <v>0</v>
      </c>
      <c r="AIN17" s="1">
        <v>0</v>
      </c>
      <c r="AIO17" s="1">
        <v>0</v>
      </c>
      <c r="AIP17" s="1">
        <v>0</v>
      </c>
      <c r="AIQ17" s="1">
        <v>0</v>
      </c>
      <c r="AIR17" s="1">
        <v>0</v>
      </c>
      <c r="AIS17" s="1">
        <v>0</v>
      </c>
      <c r="AIT17" s="1">
        <v>0</v>
      </c>
      <c r="AIU17" s="1">
        <v>1</v>
      </c>
      <c r="AIV17" s="1">
        <v>0</v>
      </c>
      <c r="AIW17" s="1">
        <v>0</v>
      </c>
      <c r="AIX17" s="1">
        <v>0</v>
      </c>
      <c r="AIZ17" s="1" t="s">
        <v>1155</v>
      </c>
      <c r="AKF17" s="1" t="s">
        <v>2445</v>
      </c>
      <c r="AKG17" s="1">
        <v>1</v>
      </c>
      <c r="AKH17" s="1">
        <v>1</v>
      </c>
      <c r="AKI17" s="1">
        <v>1</v>
      </c>
      <c r="AKJ17" s="1">
        <v>1</v>
      </c>
      <c r="AKK17" s="1">
        <v>1</v>
      </c>
      <c r="AKL17" s="1">
        <v>1</v>
      </c>
      <c r="AKM17" s="1">
        <v>1</v>
      </c>
      <c r="AKN17" s="1">
        <v>1</v>
      </c>
      <c r="AKO17" s="1">
        <v>1</v>
      </c>
      <c r="AKP17" s="1">
        <v>1</v>
      </c>
      <c r="AKQ17" s="1">
        <v>0</v>
      </c>
      <c r="AKR17" s="1">
        <v>0</v>
      </c>
      <c r="AVT17" s="1">
        <v>136622694</v>
      </c>
      <c r="AVU17" s="1" t="s">
        <v>2446</v>
      </c>
      <c r="AVW17" s="1">
        <v>257</v>
      </c>
    </row>
    <row r="18" spans="1:1271" x14ac:dyDescent="0.3">
      <c r="A18" s="1" t="s">
        <v>2447</v>
      </c>
      <c r="B18" s="1" t="s">
        <v>2448</v>
      </c>
      <c r="C18" s="1" t="s">
        <v>2449</v>
      </c>
      <c r="D18" s="1" t="s">
        <v>2442</v>
      </c>
      <c r="E18" s="1">
        <v>356676102907869</v>
      </c>
      <c r="F18" s="1" t="s">
        <v>2442</v>
      </c>
      <c r="H18" s="2"/>
      <c r="I18" s="1" t="s">
        <v>1659</v>
      </c>
      <c r="J18" s="1" t="s">
        <v>2346</v>
      </c>
      <c r="K18" s="1" t="s">
        <v>2346</v>
      </c>
      <c r="N18" s="1" t="s">
        <v>1170</v>
      </c>
      <c r="O18" s="2">
        <v>0</v>
      </c>
      <c r="P18" s="2">
        <v>0</v>
      </c>
      <c r="Q18" s="2">
        <v>1</v>
      </c>
      <c r="R18" s="2">
        <v>0</v>
      </c>
      <c r="S18" s="2">
        <v>0</v>
      </c>
      <c r="AM18" s="2"/>
      <c r="BN18" s="2"/>
      <c r="BO18" s="2"/>
      <c r="BP18" s="2"/>
      <c r="BQ18" s="2"/>
      <c r="BR18" s="2"/>
      <c r="BS18" s="2"/>
      <c r="BT18" s="2"/>
      <c r="BU18" s="2"/>
      <c r="BV18" s="2"/>
      <c r="BW18" s="2"/>
      <c r="BX18" s="2"/>
      <c r="BY18" s="2"/>
      <c r="DP18" s="2"/>
      <c r="DQ18" s="2"/>
      <c r="DR18" s="2"/>
      <c r="DS18" s="2"/>
      <c r="DT18" s="2"/>
      <c r="DW18" s="2"/>
      <c r="DX18" s="2"/>
      <c r="DY18" s="2"/>
      <c r="DZ18" s="2"/>
      <c r="EA18" s="2"/>
      <c r="EB18" s="2"/>
      <c r="EC18" s="2"/>
      <c r="ED18" s="2"/>
      <c r="EE18" s="2"/>
      <c r="EF18" s="2"/>
      <c r="EG18" s="2"/>
      <c r="EH18" s="2"/>
      <c r="EI18" s="2"/>
      <c r="EL18" s="2"/>
      <c r="EM18" s="2"/>
      <c r="EN18" s="2"/>
      <c r="EO18" s="2"/>
      <c r="EP18" s="2"/>
      <c r="EQ18" s="2"/>
      <c r="ER18" s="2"/>
      <c r="ES18" s="2"/>
      <c r="ET18" s="2"/>
      <c r="EU18" s="2"/>
      <c r="EV18" s="2"/>
      <c r="EW18" s="2"/>
      <c r="EX18" s="2"/>
      <c r="GH18" s="2"/>
      <c r="GI18" s="2"/>
      <c r="GJ18" s="2"/>
      <c r="GK18" s="2"/>
      <c r="GL18" s="2"/>
      <c r="GM18" s="2"/>
      <c r="GN18" s="2"/>
      <c r="GO18" s="2"/>
      <c r="GP18" s="2"/>
      <c r="GQ18" s="2"/>
      <c r="GR18" s="2"/>
      <c r="GS18" s="2"/>
      <c r="GT18" s="2"/>
      <c r="ZS18" s="1" t="s">
        <v>2450</v>
      </c>
      <c r="ZT18" s="63" t="s">
        <v>1171</v>
      </c>
      <c r="ZV18" s="1" t="s">
        <v>1172</v>
      </c>
      <c r="ZX18" s="1" t="s">
        <v>1156</v>
      </c>
      <c r="ABE18" s="1" t="s">
        <v>1173</v>
      </c>
      <c r="ABF18" s="1">
        <v>1</v>
      </c>
      <c r="ABG18" s="1">
        <v>0</v>
      </c>
      <c r="ABH18" s="1">
        <v>0</v>
      </c>
      <c r="ABI18" s="1">
        <v>0</v>
      </c>
      <c r="ABJ18" s="1">
        <v>0</v>
      </c>
      <c r="ABL18" s="1" t="s">
        <v>2396</v>
      </c>
      <c r="ABM18" s="1">
        <v>0</v>
      </c>
      <c r="ABN18" s="1">
        <v>0</v>
      </c>
      <c r="ABO18" s="1">
        <v>0</v>
      </c>
      <c r="ABP18" s="1">
        <v>0</v>
      </c>
      <c r="ABQ18" s="1">
        <v>0</v>
      </c>
      <c r="ABR18" s="1">
        <v>1</v>
      </c>
      <c r="ABS18" s="1">
        <v>0</v>
      </c>
      <c r="ABT18" s="1">
        <v>0</v>
      </c>
      <c r="ABU18" s="1">
        <v>1</v>
      </c>
      <c r="ABV18" s="1">
        <v>0</v>
      </c>
      <c r="ABW18" s="1">
        <v>0</v>
      </c>
      <c r="ABX18" s="1">
        <v>0</v>
      </c>
      <c r="ABY18" s="1" t="s">
        <v>2826</v>
      </c>
      <c r="ABZ18" s="1">
        <v>9</v>
      </c>
      <c r="ACA18" s="1" t="s">
        <v>1156</v>
      </c>
      <c r="ACB18" s="1">
        <v>4</v>
      </c>
      <c r="ACC18" s="1" t="s">
        <v>1156</v>
      </c>
      <c r="ACD18" s="1">
        <v>2</v>
      </c>
      <c r="ACE18" s="1">
        <v>2</v>
      </c>
      <c r="ACF18" s="1">
        <v>2</v>
      </c>
      <c r="ACG18" s="1">
        <v>4</v>
      </c>
      <c r="ACI18" s="1" t="s">
        <v>1155</v>
      </c>
      <c r="ACJ18" s="1" t="s">
        <v>1156</v>
      </c>
      <c r="ACK18" s="1" t="s">
        <v>1840</v>
      </c>
      <c r="ACM18" s="1" t="s">
        <v>1155</v>
      </c>
      <c r="ACN18" s="1">
        <v>1233</v>
      </c>
      <c r="ACO18" s="1">
        <v>415</v>
      </c>
      <c r="ACP18" s="1">
        <v>818</v>
      </c>
      <c r="ACQ18" s="1">
        <v>718</v>
      </c>
      <c r="ACR18" s="1">
        <v>1133</v>
      </c>
      <c r="ACT18" s="1">
        <v>6</v>
      </c>
      <c r="ACU18" s="1">
        <v>18</v>
      </c>
      <c r="ACV18" s="1" t="s">
        <v>1156</v>
      </c>
      <c r="ACW18" s="1" t="s">
        <v>1157</v>
      </c>
      <c r="ACX18" s="1" t="s">
        <v>2451</v>
      </c>
      <c r="ACY18" s="1">
        <v>0</v>
      </c>
      <c r="ACZ18" s="1">
        <v>1</v>
      </c>
      <c r="ADA18" s="1">
        <v>0</v>
      </c>
      <c r="ADB18" s="1">
        <v>0</v>
      </c>
      <c r="ADC18" s="1">
        <v>0</v>
      </c>
      <c r="ADD18" s="1">
        <v>0</v>
      </c>
      <c r="ADE18" s="1">
        <v>0</v>
      </c>
      <c r="ADQ18" s="1">
        <v>1</v>
      </c>
      <c r="ADR18" s="1">
        <v>0</v>
      </c>
      <c r="ADS18" s="1">
        <v>1</v>
      </c>
      <c r="ADT18" s="1">
        <v>1</v>
      </c>
      <c r="ADU18" s="1">
        <v>1</v>
      </c>
      <c r="ADW18" s="1" t="s">
        <v>1155</v>
      </c>
      <c r="AEO18" s="1">
        <v>8</v>
      </c>
      <c r="AEP18" s="1">
        <v>1</v>
      </c>
      <c r="AEQ18" s="1">
        <v>7</v>
      </c>
      <c r="AER18" s="1">
        <v>7</v>
      </c>
      <c r="AES18" s="1">
        <v>8</v>
      </c>
      <c r="AEU18" s="1" t="s">
        <v>1155</v>
      </c>
      <c r="AFL18" s="1">
        <v>8</v>
      </c>
      <c r="AFM18" s="1">
        <v>1</v>
      </c>
      <c r="AFN18" s="1">
        <v>7</v>
      </c>
      <c r="AFO18" s="1">
        <v>7</v>
      </c>
      <c r="AFP18" s="1">
        <v>8</v>
      </c>
      <c r="AFR18" s="1" t="s">
        <v>1155</v>
      </c>
      <c r="AGH18" s="1" t="s">
        <v>1174</v>
      </c>
      <c r="AGI18" s="1" t="s">
        <v>1174</v>
      </c>
      <c r="AGJ18" s="1" t="s">
        <v>1155</v>
      </c>
      <c r="AHQ18" s="1" t="s">
        <v>1164</v>
      </c>
      <c r="AHR18" s="1">
        <v>0</v>
      </c>
      <c r="AHS18" s="1">
        <v>0</v>
      </c>
      <c r="AHT18" s="1">
        <v>0</v>
      </c>
      <c r="AHU18" s="1">
        <v>0</v>
      </c>
      <c r="AHV18" s="1">
        <v>1</v>
      </c>
      <c r="AHX18" s="1" t="s">
        <v>2444</v>
      </c>
      <c r="AHY18" s="1">
        <v>1</v>
      </c>
      <c r="AHZ18" s="1">
        <v>1</v>
      </c>
      <c r="AIA18" s="1">
        <v>1</v>
      </c>
      <c r="AIB18" s="1">
        <v>1</v>
      </c>
      <c r="AIC18" s="1">
        <v>1</v>
      </c>
      <c r="AID18" s="1">
        <v>1</v>
      </c>
      <c r="AIE18" s="1">
        <v>0</v>
      </c>
      <c r="AIF18" s="1">
        <v>0</v>
      </c>
      <c r="AIG18" s="1">
        <v>0</v>
      </c>
      <c r="AIH18" s="1">
        <v>0</v>
      </c>
      <c r="AII18" s="1">
        <v>0</v>
      </c>
      <c r="AIK18" s="1" t="s">
        <v>1164</v>
      </c>
      <c r="AIL18" s="1">
        <v>0</v>
      </c>
      <c r="AIM18" s="1">
        <v>0</v>
      </c>
      <c r="AIN18" s="1">
        <v>0</v>
      </c>
      <c r="AIO18" s="1">
        <v>0</v>
      </c>
      <c r="AIP18" s="1">
        <v>0</v>
      </c>
      <c r="AIQ18" s="1">
        <v>0</v>
      </c>
      <c r="AIR18" s="1">
        <v>0</v>
      </c>
      <c r="AIS18" s="1">
        <v>0</v>
      </c>
      <c r="AIT18" s="1">
        <v>0</v>
      </c>
      <c r="AIU18" s="1">
        <v>1</v>
      </c>
      <c r="AIV18" s="1">
        <v>0</v>
      </c>
      <c r="AIW18" s="1">
        <v>0</v>
      </c>
      <c r="AIX18" s="1">
        <v>0</v>
      </c>
      <c r="AIZ18" s="1" t="s">
        <v>1155</v>
      </c>
      <c r="AKF18" s="1" t="s">
        <v>2452</v>
      </c>
      <c r="AKG18" s="1">
        <v>1</v>
      </c>
      <c r="AKH18" s="1">
        <v>1</v>
      </c>
      <c r="AKI18" s="1">
        <v>1</v>
      </c>
      <c r="AKJ18" s="1">
        <v>1</v>
      </c>
      <c r="AKK18" s="1">
        <v>1</v>
      </c>
      <c r="AKL18" s="1">
        <v>1</v>
      </c>
      <c r="AKM18" s="1">
        <v>1</v>
      </c>
      <c r="AKN18" s="1">
        <v>1</v>
      </c>
      <c r="AKO18" s="1">
        <v>1</v>
      </c>
      <c r="AKP18" s="1">
        <v>0</v>
      </c>
      <c r="AKQ18" s="1">
        <v>0</v>
      </c>
      <c r="AKR18" s="1">
        <v>0</v>
      </c>
      <c r="AVT18" s="1">
        <v>136622712</v>
      </c>
      <c r="AVU18" s="1" t="s">
        <v>2453</v>
      </c>
      <c r="AVW18" s="1">
        <v>258</v>
      </c>
    </row>
    <row r="19" spans="1:1271" x14ac:dyDescent="0.3">
      <c r="A19" s="1" t="s">
        <v>2454</v>
      </c>
      <c r="B19" s="1" t="s">
        <v>2455</v>
      </c>
      <c r="C19" s="1" t="s">
        <v>2456</v>
      </c>
      <c r="D19" s="1" t="s">
        <v>2442</v>
      </c>
      <c r="E19" s="1">
        <v>356676102907869</v>
      </c>
      <c r="F19" s="1" t="s">
        <v>2442</v>
      </c>
      <c r="H19" s="2"/>
      <c r="I19" s="1" t="s">
        <v>1659</v>
      </c>
      <c r="J19" s="1" t="s">
        <v>2346</v>
      </c>
      <c r="K19" s="1" t="s">
        <v>2346</v>
      </c>
      <c r="N19" s="1" t="s">
        <v>1170</v>
      </c>
      <c r="O19" s="2">
        <v>0</v>
      </c>
      <c r="P19" s="2">
        <v>0</v>
      </c>
      <c r="Q19" s="2">
        <v>1</v>
      </c>
      <c r="R19" s="2">
        <v>0</v>
      </c>
      <c r="S19" s="2">
        <v>0</v>
      </c>
      <c r="AM19" s="2"/>
      <c r="AU19" s="2"/>
      <c r="AV19" s="2"/>
      <c r="AW19" s="2"/>
      <c r="AX19" s="2"/>
      <c r="AY19" s="2"/>
      <c r="AZ19" s="2"/>
      <c r="BA19" s="2"/>
      <c r="BB19" s="2"/>
      <c r="BN19" s="2"/>
      <c r="BO19" s="2"/>
      <c r="BP19" s="2"/>
      <c r="BQ19" s="2"/>
      <c r="BR19" s="2"/>
      <c r="BS19" s="2"/>
      <c r="BT19" s="2"/>
      <c r="BU19" s="2"/>
      <c r="BV19" s="2"/>
      <c r="BW19" s="2"/>
      <c r="BX19" s="2"/>
      <c r="BY19" s="2"/>
      <c r="DP19" s="2"/>
      <c r="DQ19" s="2"/>
      <c r="DR19" s="2"/>
      <c r="DS19" s="2"/>
      <c r="DT19" s="2"/>
      <c r="DW19" s="2"/>
      <c r="DX19" s="2"/>
      <c r="DY19" s="2"/>
      <c r="DZ19" s="2"/>
      <c r="EA19" s="2"/>
      <c r="EB19" s="2"/>
      <c r="EC19" s="2"/>
      <c r="ED19" s="2"/>
      <c r="EE19" s="2"/>
      <c r="EF19" s="2"/>
      <c r="EG19" s="2"/>
      <c r="EH19" s="2"/>
      <c r="EI19" s="2"/>
      <c r="EL19" s="2"/>
      <c r="EM19" s="2"/>
      <c r="EN19" s="2"/>
      <c r="EO19" s="2"/>
      <c r="EP19" s="2"/>
      <c r="EQ19" s="2"/>
      <c r="ER19" s="2"/>
      <c r="ES19" s="2"/>
      <c r="ET19" s="2"/>
      <c r="EU19" s="2"/>
      <c r="EV19" s="2"/>
      <c r="EW19" s="2"/>
      <c r="EX19" s="2"/>
      <c r="GH19" s="2"/>
      <c r="GI19" s="2"/>
      <c r="GJ19" s="2"/>
      <c r="GK19" s="2"/>
      <c r="GL19" s="2"/>
      <c r="GM19" s="2"/>
      <c r="GN19" s="2"/>
      <c r="GO19" s="2"/>
      <c r="GP19" s="2"/>
      <c r="GQ19" s="2"/>
      <c r="GR19" s="2"/>
      <c r="GS19" s="2"/>
      <c r="GT19" s="2"/>
      <c r="ZS19" s="1" t="s">
        <v>2458</v>
      </c>
      <c r="ZT19" s="63" t="s">
        <v>1171</v>
      </c>
      <c r="ZV19" s="1" t="s">
        <v>1176</v>
      </c>
      <c r="ZX19" s="1" t="s">
        <v>1156</v>
      </c>
      <c r="ABE19" s="1" t="s">
        <v>1173</v>
      </c>
      <c r="ABF19" s="1">
        <v>1</v>
      </c>
      <c r="ABG19" s="1">
        <v>0</v>
      </c>
      <c r="ABH19" s="1">
        <v>0</v>
      </c>
      <c r="ABI19" s="1">
        <v>0</v>
      </c>
      <c r="ABJ19" s="1">
        <v>0</v>
      </c>
      <c r="ABL19" s="1" t="s">
        <v>2396</v>
      </c>
      <c r="ABM19" s="1">
        <v>0</v>
      </c>
      <c r="ABN19" s="1">
        <v>0</v>
      </c>
      <c r="ABO19" s="1">
        <v>0</v>
      </c>
      <c r="ABP19" s="1">
        <v>0</v>
      </c>
      <c r="ABQ19" s="1">
        <v>0</v>
      </c>
      <c r="ABR19" s="1">
        <v>1</v>
      </c>
      <c r="ABS19" s="1">
        <v>0</v>
      </c>
      <c r="ABT19" s="1">
        <v>0</v>
      </c>
      <c r="ABU19" s="1">
        <v>0</v>
      </c>
      <c r="ABV19" s="1">
        <v>0</v>
      </c>
      <c r="ABW19" s="1">
        <v>0</v>
      </c>
      <c r="ABX19" s="1">
        <v>0</v>
      </c>
      <c r="ABZ19" s="1">
        <v>2</v>
      </c>
      <c r="ACA19" s="1" t="s">
        <v>1155</v>
      </c>
      <c r="ACJ19" s="1" t="s">
        <v>1155</v>
      </c>
      <c r="ACM19" s="1" t="s">
        <v>1156</v>
      </c>
      <c r="ACN19" s="1">
        <v>240</v>
      </c>
      <c r="ACO19" s="1">
        <v>60</v>
      </c>
      <c r="ACP19" s="1">
        <v>180</v>
      </c>
      <c r="ACQ19" s="1">
        <v>180</v>
      </c>
      <c r="ACR19" s="1">
        <v>240</v>
      </c>
      <c r="ACT19" s="1">
        <v>6</v>
      </c>
      <c r="ACU19" s="1">
        <v>18</v>
      </c>
      <c r="ACV19" s="1" t="s">
        <v>1155</v>
      </c>
      <c r="ADQ19" s="1">
        <v>0</v>
      </c>
      <c r="ADR19" s="1">
        <v>0</v>
      </c>
      <c r="ADS19" s="1">
        <v>0</v>
      </c>
      <c r="ADT19" s="1">
        <v>0</v>
      </c>
      <c r="ADU19" s="1">
        <v>0</v>
      </c>
      <c r="ADW19" s="1" t="s">
        <v>1155</v>
      </c>
      <c r="AEO19" s="1">
        <v>0</v>
      </c>
      <c r="AEP19" s="1">
        <v>0</v>
      </c>
      <c r="AEQ19" s="1">
        <v>0</v>
      </c>
      <c r="AER19" s="1">
        <v>0</v>
      </c>
      <c r="AES19" s="1">
        <v>0</v>
      </c>
      <c r="AEU19" s="1" t="s">
        <v>1155</v>
      </c>
      <c r="AFL19" s="1">
        <v>2</v>
      </c>
      <c r="AFM19" s="1">
        <v>0</v>
      </c>
      <c r="AFN19" s="1">
        <v>2</v>
      </c>
      <c r="AFO19" s="1">
        <v>2</v>
      </c>
      <c r="AFP19" s="1">
        <v>2</v>
      </c>
      <c r="AFR19" s="1" t="s">
        <v>1155</v>
      </c>
      <c r="AGH19" s="1" t="s">
        <v>1174</v>
      </c>
      <c r="AGI19" s="1" t="s">
        <v>1174</v>
      </c>
      <c r="AGJ19" s="1" t="s">
        <v>1155</v>
      </c>
      <c r="AHQ19" s="1" t="s">
        <v>1164</v>
      </c>
      <c r="AHR19" s="1">
        <v>0</v>
      </c>
      <c r="AHS19" s="1">
        <v>0</v>
      </c>
      <c r="AHT19" s="1">
        <v>0</v>
      </c>
      <c r="AHU19" s="1">
        <v>0</v>
      </c>
      <c r="AHV19" s="1">
        <v>1</v>
      </c>
      <c r="AHX19" s="1" t="s">
        <v>1663</v>
      </c>
      <c r="AHY19" s="1">
        <v>1</v>
      </c>
      <c r="AHZ19" s="1">
        <v>1</v>
      </c>
      <c r="AIA19" s="1">
        <v>1</v>
      </c>
      <c r="AIB19" s="1">
        <v>1</v>
      </c>
      <c r="AIC19" s="1">
        <v>1</v>
      </c>
      <c r="AID19" s="1">
        <v>1</v>
      </c>
      <c r="AIE19" s="1">
        <v>1</v>
      </c>
      <c r="AIF19" s="1">
        <v>0</v>
      </c>
      <c r="AIG19" s="1">
        <v>0</v>
      </c>
      <c r="AIH19" s="1">
        <v>0</v>
      </c>
      <c r="AII19" s="1">
        <v>0</v>
      </c>
      <c r="AIK19" s="1" t="s">
        <v>2759</v>
      </c>
      <c r="AIL19" s="1">
        <v>0</v>
      </c>
      <c r="AIM19" s="1">
        <v>0</v>
      </c>
      <c r="AIN19" s="1">
        <v>0</v>
      </c>
      <c r="AIO19" s="1">
        <v>0</v>
      </c>
      <c r="AIP19" s="1">
        <v>1</v>
      </c>
      <c r="AIQ19" s="1">
        <v>0</v>
      </c>
      <c r="AIR19" s="1">
        <v>0</v>
      </c>
      <c r="AIS19" s="1">
        <v>0</v>
      </c>
      <c r="AIT19" s="1">
        <v>0</v>
      </c>
      <c r="AIU19" s="1">
        <v>0</v>
      </c>
      <c r="AIV19" s="1">
        <v>0</v>
      </c>
      <c r="AIW19" s="1">
        <v>0</v>
      </c>
      <c r="AIX19" s="1">
        <v>0</v>
      </c>
      <c r="AIZ19" s="1" t="s">
        <v>1155</v>
      </c>
      <c r="AKF19" s="1" t="s">
        <v>1528</v>
      </c>
      <c r="AKG19" s="1">
        <v>1</v>
      </c>
      <c r="AKH19" s="1">
        <v>1</v>
      </c>
      <c r="AKI19" s="1">
        <v>1</v>
      </c>
      <c r="AKJ19" s="1">
        <v>1</v>
      </c>
      <c r="AKK19" s="1">
        <v>1</v>
      </c>
      <c r="AKL19" s="1">
        <v>1</v>
      </c>
      <c r="AKM19" s="1">
        <v>1</v>
      </c>
      <c r="AKN19" s="1">
        <v>1</v>
      </c>
      <c r="AKO19" s="1">
        <v>1</v>
      </c>
      <c r="AKP19" s="1">
        <v>1</v>
      </c>
      <c r="AKQ19" s="1">
        <v>0</v>
      </c>
      <c r="AKR19" s="1">
        <v>0</v>
      </c>
      <c r="AVT19" s="1">
        <v>136622736</v>
      </c>
      <c r="AVU19" s="1" t="s">
        <v>2459</v>
      </c>
      <c r="AVW19" s="1">
        <v>259</v>
      </c>
    </row>
    <row r="20" spans="1:1271" x14ac:dyDescent="0.3">
      <c r="A20" s="1" t="s">
        <v>2460</v>
      </c>
      <c r="B20" s="1" t="s">
        <v>2461</v>
      </c>
      <c r="C20" s="1" t="s">
        <v>2462</v>
      </c>
      <c r="D20" s="1" t="s">
        <v>2442</v>
      </c>
      <c r="E20" s="1">
        <v>356676102907869</v>
      </c>
      <c r="F20" s="1" t="s">
        <v>2442</v>
      </c>
      <c r="H20" s="2"/>
      <c r="I20" s="1" t="s">
        <v>1659</v>
      </c>
      <c r="J20" s="1" t="s">
        <v>2346</v>
      </c>
      <c r="K20" s="1" t="s">
        <v>2346</v>
      </c>
      <c r="N20" s="1" t="s">
        <v>1170</v>
      </c>
      <c r="O20" s="2">
        <v>0</v>
      </c>
      <c r="P20" s="2">
        <v>0</v>
      </c>
      <c r="Q20" s="2">
        <v>1</v>
      </c>
      <c r="R20" s="2">
        <v>0</v>
      </c>
      <c r="S20" s="2">
        <v>0</v>
      </c>
      <c r="AM20" s="2"/>
      <c r="BN20" s="2"/>
      <c r="BO20" s="2"/>
      <c r="BP20" s="2"/>
      <c r="BQ20" s="2"/>
      <c r="BR20" s="2"/>
      <c r="BS20" s="2"/>
      <c r="BT20" s="2"/>
      <c r="BU20" s="2"/>
      <c r="BV20" s="2"/>
      <c r="BW20" s="2"/>
      <c r="BX20" s="2"/>
      <c r="BY20" s="2"/>
      <c r="DP20" s="2"/>
      <c r="DQ20" s="2"/>
      <c r="DR20" s="2"/>
      <c r="DS20" s="2"/>
      <c r="DT20" s="2"/>
      <c r="DW20" s="2"/>
      <c r="DX20" s="2"/>
      <c r="DY20" s="2"/>
      <c r="DZ20" s="2"/>
      <c r="EA20" s="2"/>
      <c r="EB20" s="2"/>
      <c r="EC20" s="2"/>
      <c r="ED20" s="2"/>
      <c r="EE20" s="2"/>
      <c r="EF20" s="2"/>
      <c r="EG20" s="2"/>
      <c r="EH20" s="2"/>
      <c r="EI20" s="2"/>
      <c r="EL20" s="2"/>
      <c r="EM20" s="2"/>
      <c r="EN20" s="2"/>
      <c r="EO20" s="2"/>
      <c r="EP20" s="2"/>
      <c r="EQ20" s="2"/>
      <c r="ER20" s="2"/>
      <c r="ES20" s="2"/>
      <c r="ET20" s="2"/>
      <c r="EU20" s="2"/>
      <c r="EV20" s="2"/>
      <c r="EW20" s="2"/>
      <c r="EX20" s="2"/>
      <c r="GH20" s="2"/>
      <c r="GI20" s="2"/>
      <c r="GJ20" s="2"/>
      <c r="GK20" s="2"/>
      <c r="GL20" s="2"/>
      <c r="GM20" s="2"/>
      <c r="GN20" s="2"/>
      <c r="GO20" s="2"/>
      <c r="GP20" s="2"/>
      <c r="GQ20" s="2"/>
      <c r="GR20" s="2"/>
      <c r="GS20" s="2"/>
      <c r="GT20" s="2"/>
      <c r="ZS20" s="1" t="s">
        <v>2463</v>
      </c>
      <c r="ZT20" s="63" t="s">
        <v>1171</v>
      </c>
      <c r="ZV20" s="1" t="s">
        <v>1176</v>
      </c>
      <c r="ZX20" s="1" t="s">
        <v>1156</v>
      </c>
      <c r="ABE20" s="1" t="s">
        <v>1173</v>
      </c>
      <c r="ABF20" s="1">
        <v>1</v>
      </c>
      <c r="ABG20" s="1">
        <v>0</v>
      </c>
      <c r="ABH20" s="1">
        <v>0</v>
      </c>
      <c r="ABI20" s="1">
        <v>0</v>
      </c>
      <c r="ABJ20" s="1">
        <v>0</v>
      </c>
      <c r="ABL20" s="1" t="s">
        <v>2827</v>
      </c>
      <c r="ABM20" s="1">
        <v>0</v>
      </c>
      <c r="ABN20" s="1">
        <v>0</v>
      </c>
      <c r="ABO20" s="1">
        <v>0</v>
      </c>
      <c r="ABP20" s="1">
        <v>0</v>
      </c>
      <c r="ABQ20" s="1">
        <v>0</v>
      </c>
      <c r="ABR20" s="1">
        <v>1</v>
      </c>
      <c r="ABS20" s="1">
        <v>0</v>
      </c>
      <c r="ABT20" s="1">
        <v>0</v>
      </c>
      <c r="ABU20" s="1">
        <v>0</v>
      </c>
      <c r="ABV20" s="1">
        <v>0</v>
      </c>
      <c r="ABW20" s="1">
        <v>0</v>
      </c>
      <c r="ABX20" s="1">
        <v>0</v>
      </c>
      <c r="ABZ20" s="1">
        <v>4</v>
      </c>
      <c r="ACA20" s="1" t="s">
        <v>1155</v>
      </c>
      <c r="ACJ20" s="1" t="s">
        <v>1155</v>
      </c>
      <c r="ACM20" s="1" t="s">
        <v>1155</v>
      </c>
      <c r="ACN20" s="1">
        <v>174</v>
      </c>
      <c r="ACO20" s="1">
        <v>78</v>
      </c>
      <c r="ACP20" s="1">
        <v>96</v>
      </c>
      <c r="ACQ20" s="1">
        <v>96</v>
      </c>
      <c r="ACR20" s="1">
        <v>174</v>
      </c>
      <c r="ACT20" s="1">
        <v>6</v>
      </c>
      <c r="ACU20" s="1">
        <v>18</v>
      </c>
      <c r="ACV20" s="1" t="s">
        <v>1155</v>
      </c>
      <c r="ADQ20" s="1">
        <v>0</v>
      </c>
      <c r="ADR20" s="1">
        <v>0</v>
      </c>
      <c r="ADS20" s="1">
        <v>0</v>
      </c>
      <c r="ADT20" s="1">
        <v>0</v>
      </c>
      <c r="ADU20" s="1">
        <v>0</v>
      </c>
      <c r="ADW20" s="1" t="s">
        <v>1155</v>
      </c>
      <c r="AEO20" s="1">
        <v>0</v>
      </c>
      <c r="AEP20" s="1">
        <v>0</v>
      </c>
      <c r="AEQ20" s="1">
        <v>0</v>
      </c>
      <c r="AER20" s="1">
        <v>0</v>
      </c>
      <c r="AES20" s="1">
        <v>0</v>
      </c>
      <c r="AEU20" s="1" t="s">
        <v>1155</v>
      </c>
      <c r="AFL20" s="1">
        <v>2</v>
      </c>
      <c r="AFM20" s="1">
        <v>0</v>
      </c>
      <c r="AFN20" s="1">
        <v>2</v>
      </c>
      <c r="AFO20" s="1">
        <v>2</v>
      </c>
      <c r="AFP20" s="1">
        <v>2</v>
      </c>
      <c r="AFR20" s="1" t="s">
        <v>1155</v>
      </c>
      <c r="AGH20" s="1" t="s">
        <v>1174</v>
      </c>
      <c r="AGI20" s="1" t="s">
        <v>1174</v>
      </c>
      <c r="AGJ20" s="1" t="s">
        <v>1155</v>
      </c>
      <c r="AHQ20" s="1" t="s">
        <v>1162</v>
      </c>
      <c r="AHR20" s="1">
        <v>0</v>
      </c>
      <c r="AHS20" s="1">
        <v>0</v>
      </c>
      <c r="AHT20" s="1">
        <v>1</v>
      </c>
      <c r="AHU20" s="1">
        <v>0</v>
      </c>
      <c r="AHV20" s="1">
        <v>0</v>
      </c>
      <c r="AHX20" s="1" t="s">
        <v>2444</v>
      </c>
      <c r="AHY20" s="1">
        <v>1</v>
      </c>
      <c r="AHZ20" s="1">
        <v>1</v>
      </c>
      <c r="AIA20" s="1">
        <v>1</v>
      </c>
      <c r="AIB20" s="1">
        <v>1</v>
      </c>
      <c r="AIC20" s="1">
        <v>1</v>
      </c>
      <c r="AID20" s="1">
        <v>1</v>
      </c>
      <c r="AIE20" s="1">
        <v>0</v>
      </c>
      <c r="AIF20" s="1">
        <v>0</v>
      </c>
      <c r="AIG20" s="1">
        <v>0</v>
      </c>
      <c r="AIH20" s="1">
        <v>0</v>
      </c>
      <c r="AII20" s="1">
        <v>0</v>
      </c>
      <c r="AIK20" s="1" t="s">
        <v>1194</v>
      </c>
      <c r="AIL20" s="1">
        <v>0</v>
      </c>
      <c r="AIM20" s="1">
        <v>0</v>
      </c>
      <c r="AIN20" s="1">
        <v>0</v>
      </c>
      <c r="AIO20" s="1">
        <v>0</v>
      </c>
      <c r="AIP20" s="1">
        <v>1</v>
      </c>
      <c r="AIQ20" s="1">
        <v>0</v>
      </c>
      <c r="AIR20" s="1">
        <v>0</v>
      </c>
      <c r="AIS20" s="1">
        <v>0</v>
      </c>
      <c r="AIT20" s="1">
        <v>0</v>
      </c>
      <c r="AIU20" s="1">
        <v>0</v>
      </c>
      <c r="AIV20" s="1">
        <v>0</v>
      </c>
      <c r="AIW20" s="1">
        <v>0</v>
      </c>
      <c r="AIX20" s="1">
        <v>0</v>
      </c>
      <c r="AIZ20" s="1" t="s">
        <v>1156</v>
      </c>
      <c r="AJA20" s="1" t="s">
        <v>1158</v>
      </c>
      <c r="AJB20" s="1">
        <v>0</v>
      </c>
      <c r="AJC20" s="1">
        <v>0</v>
      </c>
      <c r="AJD20" s="1">
        <v>0</v>
      </c>
      <c r="AJE20" s="1">
        <v>0</v>
      </c>
      <c r="AJF20" s="1">
        <v>1</v>
      </c>
      <c r="AJG20" s="1">
        <v>0</v>
      </c>
      <c r="AJH20" s="1">
        <v>0</v>
      </c>
      <c r="AJJ20" s="1" t="s">
        <v>2464</v>
      </c>
      <c r="AJK20" s="1">
        <v>0</v>
      </c>
      <c r="AJL20" s="1">
        <v>0</v>
      </c>
      <c r="AJM20" s="1">
        <v>0</v>
      </c>
      <c r="AJN20" s="1">
        <v>0</v>
      </c>
      <c r="AJO20" s="1">
        <v>0</v>
      </c>
      <c r="AJP20" s="1">
        <v>1</v>
      </c>
      <c r="AJQ20" s="1">
        <v>0</v>
      </c>
      <c r="AJR20" s="1">
        <v>0</v>
      </c>
      <c r="AJS20" s="1">
        <v>0</v>
      </c>
      <c r="AJT20" s="1">
        <v>0</v>
      </c>
      <c r="AJU20" s="1">
        <v>0</v>
      </c>
      <c r="AJV20" s="1">
        <v>0</v>
      </c>
      <c r="AJX20" s="1" t="s">
        <v>1155</v>
      </c>
      <c r="AJY20" s="1" t="s">
        <v>2465</v>
      </c>
      <c r="AJZ20" s="1">
        <v>1</v>
      </c>
      <c r="AKA20" s="1">
        <v>1</v>
      </c>
      <c r="AKB20" s="1">
        <v>1</v>
      </c>
      <c r="AKC20" s="1">
        <v>0</v>
      </c>
      <c r="AKD20" s="1">
        <v>0</v>
      </c>
      <c r="AKF20" s="1" t="s">
        <v>1528</v>
      </c>
      <c r="AKG20" s="1">
        <v>1</v>
      </c>
      <c r="AKH20" s="1">
        <v>1</v>
      </c>
      <c r="AKI20" s="1">
        <v>1</v>
      </c>
      <c r="AKJ20" s="1">
        <v>1</v>
      </c>
      <c r="AKK20" s="1">
        <v>1</v>
      </c>
      <c r="AKL20" s="1">
        <v>1</v>
      </c>
      <c r="AKM20" s="1">
        <v>1</v>
      </c>
      <c r="AKN20" s="1">
        <v>1</v>
      </c>
      <c r="AKO20" s="1">
        <v>1</v>
      </c>
      <c r="AKP20" s="1">
        <v>1</v>
      </c>
      <c r="AKQ20" s="1">
        <v>0</v>
      </c>
      <c r="AKR20" s="1">
        <v>0</v>
      </c>
      <c r="AVT20" s="1">
        <v>136622762</v>
      </c>
      <c r="AVU20" s="1" t="s">
        <v>2466</v>
      </c>
      <c r="AVW20" s="1">
        <v>260</v>
      </c>
    </row>
    <row r="21" spans="1:1271" x14ac:dyDescent="0.3">
      <c r="A21" s="1" t="s">
        <v>2467</v>
      </c>
      <c r="B21" s="1" t="s">
        <v>2468</v>
      </c>
      <c r="C21" s="1" t="s">
        <v>2469</v>
      </c>
      <c r="D21" s="1" t="s">
        <v>2442</v>
      </c>
      <c r="E21" s="1">
        <v>356676102907869</v>
      </c>
      <c r="F21" s="1" t="s">
        <v>2442</v>
      </c>
      <c r="H21" s="2"/>
      <c r="I21" s="1" t="s">
        <v>1659</v>
      </c>
      <c r="J21" s="1" t="s">
        <v>2346</v>
      </c>
      <c r="K21" s="1" t="s">
        <v>2346</v>
      </c>
      <c r="N21" s="1" t="s">
        <v>1153</v>
      </c>
      <c r="O21" s="2">
        <v>1</v>
      </c>
      <c r="P21" s="2">
        <v>0</v>
      </c>
      <c r="Q21" s="2">
        <v>0</v>
      </c>
      <c r="R21" s="2">
        <v>0</v>
      </c>
      <c r="S21" s="2">
        <v>0</v>
      </c>
      <c r="U21" s="1" t="s">
        <v>1840</v>
      </c>
      <c r="W21" s="1" t="s">
        <v>1156</v>
      </c>
      <c r="X21" s="1" t="s">
        <v>1156</v>
      </c>
      <c r="AN21" s="1" t="s">
        <v>1182</v>
      </c>
      <c r="AO21" s="1">
        <v>85</v>
      </c>
      <c r="AP21" s="1" t="s">
        <v>2145</v>
      </c>
      <c r="AR21" s="1" t="s">
        <v>1801</v>
      </c>
      <c r="AS21" s="1" t="s">
        <v>1833</v>
      </c>
      <c r="AT21" s="1" t="s">
        <v>1156</v>
      </c>
      <c r="AU21" s="1" t="s">
        <v>1186</v>
      </c>
      <c r="AV21" s="1" t="s">
        <v>2470</v>
      </c>
      <c r="AW21" s="1">
        <v>0</v>
      </c>
      <c r="AX21" s="1">
        <v>0</v>
      </c>
      <c r="AY21" s="1">
        <v>0</v>
      </c>
      <c r="AZ21" s="1">
        <v>1</v>
      </c>
      <c r="BA21" s="1">
        <v>0</v>
      </c>
      <c r="BB21" s="1">
        <v>1</v>
      </c>
      <c r="BC21" s="1">
        <v>0</v>
      </c>
      <c r="BD21" s="1">
        <v>0</v>
      </c>
      <c r="BO21" s="1" t="s">
        <v>2396</v>
      </c>
      <c r="BP21" s="1">
        <v>0</v>
      </c>
      <c r="BQ21" s="1">
        <v>0</v>
      </c>
      <c r="BR21" s="1">
        <v>0</v>
      </c>
      <c r="BS21" s="1">
        <v>0</v>
      </c>
      <c r="BT21" s="1">
        <v>0</v>
      </c>
      <c r="BU21" s="1">
        <v>1</v>
      </c>
      <c r="BV21" s="1">
        <v>0</v>
      </c>
      <c r="BW21" s="1">
        <v>0</v>
      </c>
      <c r="BX21" s="1">
        <v>0</v>
      </c>
      <c r="BY21" s="1">
        <v>0</v>
      </c>
      <c r="BZ21" s="1">
        <v>0</v>
      </c>
      <c r="CA21" s="1">
        <v>0</v>
      </c>
      <c r="CB21" s="1" t="s">
        <v>2421</v>
      </c>
      <c r="CC21" s="1" t="s">
        <v>1155</v>
      </c>
      <c r="DQ21" s="1" t="s">
        <v>1164</v>
      </c>
      <c r="DR21" s="2">
        <v>0</v>
      </c>
      <c r="DS21" s="2">
        <v>0</v>
      </c>
      <c r="DT21" s="2">
        <v>0</v>
      </c>
      <c r="DU21" s="2">
        <v>0</v>
      </c>
      <c r="DV21" s="2">
        <v>1</v>
      </c>
      <c r="DX21" s="1" t="s">
        <v>1164</v>
      </c>
      <c r="DY21" s="2">
        <v>0</v>
      </c>
      <c r="DZ21" s="2">
        <v>0</v>
      </c>
      <c r="EA21" s="2">
        <v>0</v>
      </c>
      <c r="EB21" s="2">
        <v>0</v>
      </c>
      <c r="EC21" s="2">
        <v>0</v>
      </c>
      <c r="ED21" s="2">
        <v>0</v>
      </c>
      <c r="EE21" s="2">
        <v>0</v>
      </c>
      <c r="EF21" s="2">
        <v>0</v>
      </c>
      <c r="EG21" s="2">
        <v>0</v>
      </c>
      <c r="EH21" s="2">
        <v>1</v>
      </c>
      <c r="EI21" s="2">
        <v>0</v>
      </c>
      <c r="EJ21" s="2">
        <v>0</v>
      </c>
      <c r="EK21" s="2">
        <v>0</v>
      </c>
      <c r="EM21" s="1" t="s">
        <v>1194</v>
      </c>
      <c r="EN21" s="2">
        <v>0</v>
      </c>
      <c r="EO21" s="2">
        <v>0</v>
      </c>
      <c r="EP21" s="2">
        <v>0</v>
      </c>
      <c r="EQ21" s="2">
        <v>0</v>
      </c>
      <c r="ER21" s="2">
        <v>1</v>
      </c>
      <c r="ES21" s="2">
        <v>0</v>
      </c>
      <c r="ET21" s="2">
        <v>0</v>
      </c>
      <c r="EU21" s="2">
        <v>0</v>
      </c>
      <c r="EV21" s="2">
        <v>0</v>
      </c>
      <c r="EW21" s="2">
        <v>0</v>
      </c>
      <c r="EX21" s="2">
        <v>0</v>
      </c>
      <c r="EY21" s="2">
        <v>0</v>
      </c>
      <c r="EZ21" s="2">
        <v>0</v>
      </c>
      <c r="FB21" s="1" t="s">
        <v>1156</v>
      </c>
      <c r="FC21" s="1" t="s">
        <v>1158</v>
      </c>
      <c r="FD21" s="2">
        <v>0</v>
      </c>
      <c r="FE21" s="2">
        <v>0</v>
      </c>
      <c r="FF21" s="2">
        <v>0</v>
      </c>
      <c r="FG21" s="2">
        <v>0</v>
      </c>
      <c r="FH21" s="2">
        <v>1</v>
      </c>
      <c r="FI21" s="2">
        <v>0</v>
      </c>
      <c r="FJ21" s="2">
        <v>0</v>
      </c>
      <c r="FL21" s="1" t="s">
        <v>1197</v>
      </c>
      <c r="FM21" s="2">
        <v>0</v>
      </c>
      <c r="FN21" s="2">
        <v>1</v>
      </c>
      <c r="FO21" s="2">
        <v>0</v>
      </c>
      <c r="FP21" s="2">
        <v>0</v>
      </c>
      <c r="FQ21" s="2">
        <v>0</v>
      </c>
      <c r="FR21" s="2">
        <v>0</v>
      </c>
      <c r="FS21" s="2">
        <v>0</v>
      </c>
      <c r="FT21" s="2">
        <v>0</v>
      </c>
      <c r="FU21" s="2">
        <v>0</v>
      </c>
      <c r="FV21" s="2">
        <v>0</v>
      </c>
      <c r="FW21" s="2">
        <v>0</v>
      </c>
      <c r="FX21" s="2">
        <v>0</v>
      </c>
      <c r="FY21" s="2">
        <v>0</v>
      </c>
      <c r="GA21" s="1" t="s">
        <v>1156</v>
      </c>
      <c r="GI21" s="1" t="s">
        <v>2471</v>
      </c>
      <c r="GJ21" s="2">
        <v>0</v>
      </c>
      <c r="GK21" s="2">
        <v>1</v>
      </c>
      <c r="GL21" s="2">
        <v>1</v>
      </c>
      <c r="GM21" s="2">
        <v>0</v>
      </c>
      <c r="GN21" s="2">
        <v>0</v>
      </c>
      <c r="GO21" s="2">
        <v>0</v>
      </c>
      <c r="GP21" s="2">
        <v>0</v>
      </c>
      <c r="GQ21" s="2">
        <v>1</v>
      </c>
      <c r="GR21" s="2">
        <v>0</v>
      </c>
      <c r="GS21" s="2">
        <v>0</v>
      </c>
      <c r="GT21" s="2">
        <v>1</v>
      </c>
      <c r="GU21" s="2">
        <v>0</v>
      </c>
      <c r="GV21" s="2">
        <v>0</v>
      </c>
      <c r="AAZ21" s="2"/>
      <c r="ABA21" s="2"/>
      <c r="ABB21" s="2"/>
      <c r="ABC21" s="2"/>
      <c r="ABD21" s="2"/>
      <c r="ABG21" s="2"/>
      <c r="ABH21" s="2"/>
      <c r="ABI21" s="2"/>
      <c r="ABJ21" s="2"/>
      <c r="ABK21" s="2"/>
      <c r="ABL21" s="2"/>
      <c r="ABM21" s="2"/>
      <c r="ABN21" s="2"/>
      <c r="ABO21" s="2"/>
      <c r="ABP21" s="2"/>
      <c r="ABQ21" s="2"/>
      <c r="ABR21" s="2"/>
      <c r="ABT21" s="2"/>
      <c r="ACH21" s="2"/>
      <c r="ACI21" s="2"/>
      <c r="ACJ21" s="2"/>
      <c r="ACK21" s="2"/>
      <c r="ACL21" s="2"/>
      <c r="ACN21" s="2"/>
      <c r="ACO21" s="2"/>
      <c r="ACS21" s="2"/>
      <c r="ACT21" s="2"/>
      <c r="ACU21" s="2"/>
      <c r="ACV21" s="2"/>
      <c r="ACW21" s="2"/>
      <c r="ACX21" s="2"/>
      <c r="ACY21" s="2"/>
      <c r="ADK21" s="2"/>
      <c r="ADL21" s="2"/>
      <c r="ADM21" s="2"/>
      <c r="ADN21" s="2"/>
      <c r="ADO21" s="2"/>
      <c r="AEI21" s="2"/>
      <c r="AEJ21" s="2"/>
      <c r="AEK21" s="2"/>
      <c r="AEL21" s="2"/>
      <c r="AEM21" s="2"/>
      <c r="AFF21" s="2"/>
      <c r="AFG21" s="2"/>
      <c r="AFH21" s="2"/>
      <c r="AFI21" s="2"/>
      <c r="AFJ21" s="2"/>
      <c r="AHL21" s="2"/>
      <c r="AHM21" s="2"/>
      <c r="AHN21" s="2"/>
      <c r="AHO21" s="2"/>
      <c r="AHP21" s="2"/>
      <c r="AHS21" s="2"/>
      <c r="AHT21" s="2"/>
      <c r="AHU21" s="2"/>
      <c r="AHV21" s="2"/>
      <c r="AHW21" s="2"/>
      <c r="AHX21" s="2"/>
      <c r="AHY21" s="2"/>
      <c r="AHZ21" s="2"/>
      <c r="AIA21" s="2"/>
      <c r="AIB21" s="2"/>
      <c r="AIC21" s="2"/>
      <c r="AIF21" s="2"/>
      <c r="AIG21" s="2"/>
      <c r="AIH21" s="2"/>
      <c r="AII21" s="2"/>
      <c r="AIJ21" s="2"/>
      <c r="AIK21" s="2"/>
      <c r="AIL21" s="2"/>
      <c r="AIM21" s="2"/>
      <c r="AIN21" s="2"/>
      <c r="AIO21" s="2"/>
      <c r="AIP21" s="2"/>
      <c r="AIQ21" s="2"/>
      <c r="AIR21" s="2"/>
      <c r="AIV21" s="2"/>
      <c r="AIW21" s="2"/>
      <c r="AIX21" s="2"/>
      <c r="AIY21" s="2"/>
      <c r="AIZ21" s="2"/>
      <c r="AJA21" s="2"/>
      <c r="AJB21" s="2"/>
      <c r="AJE21" s="2"/>
      <c r="AJF21" s="2"/>
      <c r="AJG21" s="2"/>
      <c r="AJH21" s="2"/>
      <c r="AJI21" s="2"/>
      <c r="AJJ21" s="2"/>
      <c r="AJK21" s="2"/>
      <c r="AJL21" s="2"/>
      <c r="AJM21" s="2"/>
      <c r="AJN21" s="2"/>
      <c r="AJO21" s="2"/>
      <c r="AJP21" s="2"/>
      <c r="AKA21" s="2"/>
      <c r="AKB21" s="2"/>
      <c r="AKC21" s="2"/>
      <c r="AKD21" s="2"/>
      <c r="AKE21" s="2"/>
      <c r="AKF21" s="2"/>
      <c r="AKG21" s="2"/>
      <c r="AKH21" s="2"/>
      <c r="AKI21" s="2"/>
      <c r="AKJ21" s="2"/>
      <c r="AKK21" s="2"/>
      <c r="AKL21" s="2"/>
      <c r="AVT21" s="1">
        <v>136622788</v>
      </c>
      <c r="AVU21" s="1" t="s">
        <v>2472</v>
      </c>
      <c r="AVW21" s="1">
        <v>261</v>
      </c>
    </row>
    <row r="22" spans="1:1271" x14ac:dyDescent="0.3">
      <c r="A22" s="1" t="s">
        <v>2473</v>
      </c>
      <c r="B22" s="1" t="s">
        <v>2474</v>
      </c>
      <c r="C22" s="1" t="s">
        <v>2475</v>
      </c>
      <c r="D22" s="1" t="s">
        <v>2442</v>
      </c>
      <c r="E22" s="1">
        <v>356676102907869</v>
      </c>
      <c r="F22" s="1" t="s">
        <v>2442</v>
      </c>
      <c r="I22" s="1" t="s">
        <v>1659</v>
      </c>
      <c r="J22" s="1" t="s">
        <v>2346</v>
      </c>
      <c r="K22" s="1" t="s">
        <v>2346</v>
      </c>
      <c r="N22" s="1" t="s">
        <v>1170</v>
      </c>
      <c r="O22" s="1">
        <v>0</v>
      </c>
      <c r="P22" s="1">
        <v>0</v>
      </c>
      <c r="Q22" s="1">
        <v>1</v>
      </c>
      <c r="R22" s="1">
        <v>0</v>
      </c>
      <c r="S22" s="1">
        <v>0</v>
      </c>
      <c r="ZS22" s="1" t="s">
        <v>2476</v>
      </c>
      <c r="ZT22" s="63" t="s">
        <v>2477</v>
      </c>
      <c r="ZV22" s="1" t="s">
        <v>1172</v>
      </c>
      <c r="ZX22" s="1" t="s">
        <v>1156</v>
      </c>
      <c r="ABE22" s="1" t="s">
        <v>1173</v>
      </c>
      <c r="ABF22" s="1">
        <v>1</v>
      </c>
      <c r="ABG22" s="1">
        <v>0</v>
      </c>
      <c r="ABH22" s="1">
        <v>0</v>
      </c>
      <c r="ABI22" s="1">
        <v>0</v>
      </c>
      <c r="ABJ22" s="1">
        <v>0</v>
      </c>
      <c r="ABL22" s="57" t="s">
        <v>1177</v>
      </c>
      <c r="ABM22" s="1">
        <v>0</v>
      </c>
      <c r="ABN22" s="1">
        <v>0</v>
      </c>
      <c r="ABO22" s="1">
        <v>0</v>
      </c>
      <c r="ABP22" s="1">
        <v>0</v>
      </c>
      <c r="ABQ22" s="1">
        <v>0</v>
      </c>
      <c r="ABR22" s="1">
        <v>0</v>
      </c>
      <c r="ABS22" s="1">
        <v>0</v>
      </c>
      <c r="ABT22" s="1">
        <v>0</v>
      </c>
      <c r="ABU22" s="1">
        <v>0</v>
      </c>
      <c r="ABV22" s="1">
        <v>0</v>
      </c>
      <c r="ABW22" s="1">
        <v>0</v>
      </c>
      <c r="ABX22" s="1">
        <v>1</v>
      </c>
      <c r="ABY22" s="57"/>
      <c r="ABZ22" s="1">
        <v>6</v>
      </c>
      <c r="ACA22" s="1" t="s">
        <v>1156</v>
      </c>
      <c r="ACB22" s="1">
        <v>8</v>
      </c>
      <c r="ACC22" s="1" t="s">
        <v>1156</v>
      </c>
      <c r="ACD22" s="1">
        <v>4</v>
      </c>
      <c r="ACE22" s="1">
        <v>4</v>
      </c>
      <c r="ACF22" s="1">
        <v>4</v>
      </c>
      <c r="ACG22" s="1">
        <v>8</v>
      </c>
      <c r="ACI22" s="1" t="s">
        <v>1155</v>
      </c>
      <c r="ACJ22" s="1" t="s">
        <v>1156</v>
      </c>
      <c r="ACK22" s="1" t="s">
        <v>2167</v>
      </c>
      <c r="ACM22" s="1" t="s">
        <v>1155</v>
      </c>
      <c r="ACN22" s="1">
        <v>450</v>
      </c>
      <c r="ACO22" s="1">
        <v>280</v>
      </c>
      <c r="ACP22" s="1">
        <v>170</v>
      </c>
      <c r="ACQ22" s="1">
        <v>170</v>
      </c>
      <c r="ACR22" s="1">
        <v>450</v>
      </c>
      <c r="ACT22" s="1">
        <v>6</v>
      </c>
      <c r="ACU22" s="1">
        <v>16</v>
      </c>
      <c r="ACV22" s="1" t="s">
        <v>1156</v>
      </c>
      <c r="ACW22" s="1" t="s">
        <v>1166</v>
      </c>
      <c r="ADG22" s="1" t="s">
        <v>1532</v>
      </c>
      <c r="ADH22" s="1">
        <v>0</v>
      </c>
      <c r="ADI22" s="1">
        <v>0</v>
      </c>
      <c r="ADJ22" s="1">
        <v>0</v>
      </c>
      <c r="ADK22" s="1">
        <v>0</v>
      </c>
      <c r="ADL22" s="1">
        <v>0</v>
      </c>
      <c r="ADM22" s="1">
        <v>0</v>
      </c>
      <c r="ADN22" s="1">
        <v>0</v>
      </c>
      <c r="ADO22" s="1">
        <v>1</v>
      </c>
      <c r="ADQ22" s="1">
        <v>1</v>
      </c>
      <c r="ADR22" s="1">
        <v>0</v>
      </c>
      <c r="ADS22" s="1">
        <v>1</v>
      </c>
      <c r="ADT22" s="1">
        <v>1</v>
      </c>
      <c r="ADU22" s="1">
        <v>1</v>
      </c>
      <c r="ADW22" s="1" t="s">
        <v>1155</v>
      </c>
      <c r="AEO22" s="1">
        <v>0</v>
      </c>
      <c r="AEP22" s="1">
        <v>0</v>
      </c>
      <c r="AEQ22" s="1">
        <v>0</v>
      </c>
      <c r="AER22" s="1">
        <v>0</v>
      </c>
      <c r="AES22" s="1">
        <v>0</v>
      </c>
      <c r="AEU22" s="1" t="s">
        <v>1155</v>
      </c>
      <c r="AFL22" s="1">
        <v>6</v>
      </c>
      <c r="AFM22" s="1">
        <v>0</v>
      </c>
      <c r="AFN22" s="1">
        <v>6</v>
      </c>
      <c r="AFO22" s="1">
        <v>6</v>
      </c>
      <c r="AFP22" s="1">
        <v>6</v>
      </c>
      <c r="AFR22" s="1" t="s">
        <v>1156</v>
      </c>
      <c r="AFS22" s="1" t="s">
        <v>1161</v>
      </c>
      <c r="AGA22" s="1" t="s">
        <v>2837</v>
      </c>
      <c r="AGB22" s="1">
        <v>1</v>
      </c>
      <c r="AGC22" s="1">
        <v>0</v>
      </c>
      <c r="AGD22" s="1">
        <v>0</v>
      </c>
      <c r="AGE22" s="1">
        <v>0</v>
      </c>
      <c r="AGF22" s="1">
        <v>0</v>
      </c>
      <c r="AGH22" s="1" t="s">
        <v>1174</v>
      </c>
      <c r="AGI22" s="1" t="s">
        <v>1174</v>
      </c>
      <c r="AGJ22" s="1" t="s">
        <v>1156</v>
      </c>
      <c r="AGK22" s="90">
        <v>8000</v>
      </c>
      <c r="AGL22" s="1" t="s">
        <v>2840</v>
      </c>
      <c r="AGM22" s="1">
        <v>1</v>
      </c>
      <c r="AGN22" s="1">
        <v>1</v>
      </c>
      <c r="AGO22" s="1">
        <v>0</v>
      </c>
      <c r="AGP22" s="1">
        <v>0</v>
      </c>
      <c r="AGQ22" s="1">
        <v>0</v>
      </c>
      <c r="AGR22" s="1">
        <v>0</v>
      </c>
      <c r="AGT22" s="1" t="s">
        <v>1155</v>
      </c>
      <c r="AHQ22" s="1" t="s">
        <v>1162</v>
      </c>
      <c r="AHR22" s="1">
        <v>0</v>
      </c>
      <c r="AHS22" s="1">
        <v>0</v>
      </c>
      <c r="AHT22" s="1">
        <v>1</v>
      </c>
      <c r="AHU22" s="1">
        <v>0</v>
      </c>
      <c r="AHV22" s="1">
        <v>0</v>
      </c>
      <c r="AHX22" s="1" t="s">
        <v>2444</v>
      </c>
      <c r="AHY22" s="1">
        <v>1</v>
      </c>
      <c r="AHZ22" s="1">
        <v>1</v>
      </c>
      <c r="AIA22" s="1">
        <v>1</v>
      </c>
      <c r="AIB22" s="1">
        <v>1</v>
      </c>
      <c r="AIC22" s="1">
        <v>1</v>
      </c>
      <c r="AID22" s="1">
        <v>1</v>
      </c>
      <c r="AIE22" s="1">
        <v>0</v>
      </c>
      <c r="AIF22" s="1">
        <v>0</v>
      </c>
      <c r="AIG22" s="1">
        <v>0</v>
      </c>
      <c r="AIH22" s="1">
        <v>0</v>
      </c>
      <c r="AII22" s="1">
        <v>0</v>
      </c>
      <c r="AIK22" s="1" t="s">
        <v>2478</v>
      </c>
      <c r="AIL22" s="1">
        <v>0</v>
      </c>
      <c r="AIM22" s="1">
        <v>0</v>
      </c>
      <c r="AIN22" s="1">
        <v>0</v>
      </c>
      <c r="AIO22" s="1">
        <v>0</v>
      </c>
      <c r="AIP22" s="1">
        <v>0</v>
      </c>
      <c r="AIQ22" s="1">
        <v>0</v>
      </c>
      <c r="AIR22" s="1">
        <v>0</v>
      </c>
      <c r="AIS22" s="1">
        <v>0</v>
      </c>
      <c r="AIT22" s="1">
        <v>1</v>
      </c>
      <c r="AIU22" s="1">
        <v>0</v>
      </c>
      <c r="AIV22" s="1">
        <v>0</v>
      </c>
      <c r="AIW22" s="1">
        <v>0</v>
      </c>
      <c r="AIX22" s="1">
        <v>0</v>
      </c>
      <c r="AIZ22" s="1" t="s">
        <v>1155</v>
      </c>
      <c r="AKF22" s="1" t="s">
        <v>2479</v>
      </c>
      <c r="AKG22" s="1">
        <v>1</v>
      </c>
      <c r="AKH22" s="1">
        <v>1</v>
      </c>
      <c r="AKI22" s="1">
        <v>1</v>
      </c>
      <c r="AKJ22" s="1">
        <v>1</v>
      </c>
      <c r="AKK22" s="1">
        <v>1</v>
      </c>
      <c r="AKL22" s="1">
        <v>1</v>
      </c>
      <c r="AKM22" s="1">
        <v>1</v>
      </c>
      <c r="AKN22" s="1">
        <v>0</v>
      </c>
      <c r="AKO22" s="1">
        <v>0</v>
      </c>
      <c r="AKP22" s="1">
        <v>0</v>
      </c>
      <c r="AKQ22" s="1">
        <v>0</v>
      </c>
      <c r="AKR22" s="1">
        <v>0</v>
      </c>
      <c r="AVT22" s="1">
        <v>136622811</v>
      </c>
      <c r="AVU22" s="1" t="s">
        <v>2480</v>
      </c>
      <c r="AVW22" s="1">
        <v>262</v>
      </c>
    </row>
    <row r="23" spans="1:1271" x14ac:dyDescent="0.3">
      <c r="A23" s="1" t="s">
        <v>2481</v>
      </c>
      <c r="B23" s="1" t="s">
        <v>2482</v>
      </c>
      <c r="C23" s="1" t="s">
        <v>2483</v>
      </c>
      <c r="D23" s="1" t="s">
        <v>2345</v>
      </c>
      <c r="E23" s="1">
        <v>356676102903926</v>
      </c>
      <c r="F23" s="1" t="s">
        <v>2345</v>
      </c>
      <c r="I23" s="1" t="s">
        <v>1659</v>
      </c>
      <c r="J23" s="1" t="s">
        <v>2346</v>
      </c>
      <c r="K23" s="1" t="s">
        <v>2346</v>
      </c>
      <c r="N23" s="1" t="s">
        <v>1153</v>
      </c>
      <c r="O23" s="1">
        <v>1</v>
      </c>
      <c r="P23" s="1">
        <v>0</v>
      </c>
      <c r="Q23" s="1">
        <v>0</v>
      </c>
      <c r="R23" s="1">
        <v>0</v>
      </c>
      <c r="S23" s="1">
        <v>0</v>
      </c>
      <c r="U23" s="1" t="s">
        <v>1840</v>
      </c>
      <c r="W23" s="1" t="s">
        <v>1156</v>
      </c>
      <c r="X23" s="1" t="s">
        <v>1156</v>
      </c>
      <c r="AN23" s="1" t="s">
        <v>1182</v>
      </c>
      <c r="AO23" s="1">
        <v>100</v>
      </c>
      <c r="AP23" s="1" t="s">
        <v>2145</v>
      </c>
      <c r="AR23" s="1" t="s">
        <v>1801</v>
      </c>
      <c r="AS23" s="1" t="s">
        <v>2260</v>
      </c>
      <c r="AT23" s="1" t="s">
        <v>1156</v>
      </c>
      <c r="AU23" s="1" t="s">
        <v>1157</v>
      </c>
      <c r="AV23" s="1" t="s">
        <v>2484</v>
      </c>
      <c r="AW23" s="1">
        <v>0</v>
      </c>
      <c r="AX23" s="1">
        <v>0</v>
      </c>
      <c r="AY23" s="1">
        <v>1</v>
      </c>
      <c r="AZ23" s="1">
        <v>0</v>
      </c>
      <c r="BA23" s="1">
        <v>0</v>
      </c>
      <c r="BB23" s="1">
        <v>0</v>
      </c>
      <c r="BC23" s="1">
        <v>0</v>
      </c>
      <c r="BD23" s="1">
        <v>0</v>
      </c>
      <c r="BO23" s="1" t="s">
        <v>2485</v>
      </c>
      <c r="BP23" s="1">
        <v>0</v>
      </c>
      <c r="BQ23" s="1">
        <v>0</v>
      </c>
      <c r="BR23" s="1">
        <v>0</v>
      </c>
      <c r="BS23" s="1">
        <v>0</v>
      </c>
      <c r="BT23" s="1">
        <v>1</v>
      </c>
      <c r="BU23" s="1">
        <v>0</v>
      </c>
      <c r="BV23" s="1">
        <v>0</v>
      </c>
      <c r="BW23" s="1">
        <v>0</v>
      </c>
      <c r="BX23" s="1">
        <v>0</v>
      </c>
      <c r="BY23" s="1">
        <v>0</v>
      </c>
      <c r="BZ23" s="1">
        <v>1</v>
      </c>
      <c r="CA23" s="1">
        <v>0</v>
      </c>
      <c r="CC23" s="1" t="s">
        <v>1155</v>
      </c>
      <c r="DQ23" s="1" t="s">
        <v>1397</v>
      </c>
      <c r="DR23" s="2">
        <v>1</v>
      </c>
      <c r="DS23" s="2">
        <v>0</v>
      </c>
      <c r="DT23" s="2">
        <v>0</v>
      </c>
      <c r="DU23" s="2">
        <v>0</v>
      </c>
      <c r="DV23" s="2">
        <v>0</v>
      </c>
      <c r="DX23" s="1" t="s">
        <v>1193</v>
      </c>
      <c r="DY23" s="2">
        <v>0</v>
      </c>
      <c r="DZ23" s="2">
        <v>0</v>
      </c>
      <c r="EA23" s="2">
        <v>0</v>
      </c>
      <c r="EB23" s="2">
        <v>1</v>
      </c>
      <c r="EC23" s="2">
        <v>0</v>
      </c>
      <c r="ED23" s="2">
        <v>0</v>
      </c>
      <c r="EE23" s="2">
        <v>0</v>
      </c>
      <c r="EF23" s="2">
        <v>0</v>
      </c>
      <c r="EG23" s="2">
        <v>0</v>
      </c>
      <c r="EH23" s="2">
        <v>0</v>
      </c>
      <c r="EI23" s="2">
        <v>0</v>
      </c>
      <c r="EJ23" s="2">
        <v>0</v>
      </c>
      <c r="EK23" s="2">
        <v>0</v>
      </c>
      <c r="EM23" s="1" t="s">
        <v>1194</v>
      </c>
      <c r="EN23" s="2">
        <v>0</v>
      </c>
      <c r="EO23" s="2">
        <v>0</v>
      </c>
      <c r="EP23" s="2">
        <v>0</v>
      </c>
      <c r="EQ23" s="2">
        <v>0</v>
      </c>
      <c r="ER23" s="2">
        <v>1</v>
      </c>
      <c r="ES23" s="2">
        <v>0</v>
      </c>
      <c r="ET23" s="2">
        <v>0</v>
      </c>
      <c r="EU23" s="2">
        <v>0</v>
      </c>
      <c r="EV23" s="2">
        <v>0</v>
      </c>
      <c r="EW23" s="2">
        <v>0</v>
      </c>
      <c r="EX23" s="2">
        <v>0</v>
      </c>
      <c r="EY23" s="2">
        <v>0</v>
      </c>
      <c r="EZ23" s="2">
        <v>0</v>
      </c>
      <c r="FB23" s="1" t="s">
        <v>1156</v>
      </c>
      <c r="FC23" s="1" t="s">
        <v>2486</v>
      </c>
      <c r="FD23" s="2">
        <v>1</v>
      </c>
      <c r="FE23" s="2">
        <v>0</v>
      </c>
      <c r="FF23" s="2">
        <v>0</v>
      </c>
      <c r="FG23" s="2">
        <v>0</v>
      </c>
      <c r="FH23" s="2">
        <v>0</v>
      </c>
      <c r="FI23" s="2">
        <v>0</v>
      </c>
      <c r="FJ23" s="2">
        <v>0</v>
      </c>
      <c r="FL23" s="1" t="s">
        <v>1388</v>
      </c>
      <c r="FM23" s="2">
        <v>1</v>
      </c>
      <c r="FN23" s="2">
        <v>0</v>
      </c>
      <c r="FO23" s="2">
        <v>0</v>
      </c>
      <c r="FP23" s="2">
        <v>0</v>
      </c>
      <c r="FQ23" s="2">
        <v>0</v>
      </c>
      <c r="FR23" s="2">
        <v>0</v>
      </c>
      <c r="FS23" s="2">
        <v>0</v>
      </c>
      <c r="FT23" s="2">
        <v>0</v>
      </c>
      <c r="FU23" s="2">
        <v>0</v>
      </c>
      <c r="FV23" s="2">
        <v>0</v>
      </c>
      <c r="FW23" s="2">
        <v>0</v>
      </c>
      <c r="FX23" s="2">
        <v>0</v>
      </c>
      <c r="FY23" s="2">
        <v>0</v>
      </c>
      <c r="GA23" s="1" t="s">
        <v>1155</v>
      </c>
      <c r="GB23" s="1" t="s">
        <v>1180</v>
      </c>
      <c r="GC23" s="2">
        <v>1</v>
      </c>
      <c r="GD23" s="2">
        <v>0</v>
      </c>
      <c r="GE23" s="2">
        <v>0</v>
      </c>
      <c r="GF23" s="2">
        <v>0</v>
      </c>
      <c r="GG23" s="2">
        <v>0</v>
      </c>
      <c r="GI23" s="1" t="s">
        <v>2427</v>
      </c>
      <c r="GJ23" s="2">
        <v>0</v>
      </c>
      <c r="GK23" s="2">
        <v>0</v>
      </c>
      <c r="GL23" s="2">
        <v>1</v>
      </c>
      <c r="GM23" s="2">
        <v>0</v>
      </c>
      <c r="GN23" s="2">
        <v>0</v>
      </c>
      <c r="GO23" s="2">
        <v>0</v>
      </c>
      <c r="GP23" s="2">
        <v>0</v>
      </c>
      <c r="GQ23" s="2">
        <v>0</v>
      </c>
      <c r="GR23" s="2">
        <v>0</v>
      </c>
      <c r="GS23" s="2">
        <v>0</v>
      </c>
      <c r="GT23" s="2">
        <v>0</v>
      </c>
      <c r="GU23" s="2">
        <v>0</v>
      </c>
      <c r="GV23" s="2">
        <v>0</v>
      </c>
      <c r="AVT23" s="1">
        <v>136622878</v>
      </c>
      <c r="AVU23" s="1" t="s">
        <v>2487</v>
      </c>
      <c r="AVW23" s="1">
        <v>266</v>
      </c>
    </row>
    <row r="24" spans="1:1271" x14ac:dyDescent="0.3">
      <c r="A24" s="1" t="s">
        <v>2488</v>
      </c>
      <c r="B24" s="1" t="s">
        <v>2489</v>
      </c>
      <c r="C24" s="1" t="s">
        <v>2490</v>
      </c>
      <c r="D24" s="1" t="s">
        <v>2345</v>
      </c>
      <c r="E24" s="1">
        <v>356676102908909</v>
      </c>
      <c r="F24" s="1" t="s">
        <v>2345</v>
      </c>
      <c r="I24" s="1" t="s">
        <v>1659</v>
      </c>
      <c r="J24" s="1" t="s">
        <v>2346</v>
      </c>
      <c r="K24" s="1" t="s">
        <v>2346</v>
      </c>
      <c r="N24" s="1" t="s">
        <v>1389</v>
      </c>
      <c r="O24" s="1">
        <v>0</v>
      </c>
      <c r="P24" s="1">
        <v>0</v>
      </c>
      <c r="Q24" s="1">
        <v>0</v>
      </c>
      <c r="R24" s="1">
        <v>1</v>
      </c>
      <c r="S24" s="1">
        <v>0</v>
      </c>
      <c r="OK24" s="1" t="s">
        <v>1386</v>
      </c>
      <c r="OM24" s="1" t="s">
        <v>2845</v>
      </c>
      <c r="ON24" s="1" t="s">
        <v>1156</v>
      </c>
      <c r="PL24" s="1" t="s">
        <v>1156</v>
      </c>
      <c r="PM24" s="1">
        <v>6</v>
      </c>
      <c r="PN24" s="1" t="s">
        <v>1156</v>
      </c>
      <c r="PO24" s="1">
        <v>3</v>
      </c>
      <c r="PP24" s="1">
        <v>3</v>
      </c>
      <c r="PQ24" s="1" t="s">
        <v>1156</v>
      </c>
      <c r="PR24" s="1" t="s">
        <v>1156</v>
      </c>
      <c r="PS24" s="1" t="s">
        <v>1391</v>
      </c>
      <c r="PU24" s="1" t="s">
        <v>1156</v>
      </c>
      <c r="PV24" s="1" t="s">
        <v>1156</v>
      </c>
      <c r="PW24" s="1">
        <v>1</v>
      </c>
      <c r="PX24" s="1" t="s">
        <v>1156</v>
      </c>
      <c r="PY24" s="1" t="s">
        <v>2491</v>
      </c>
      <c r="PZ24" s="1" t="s">
        <v>2492</v>
      </c>
      <c r="QA24" s="1">
        <v>1</v>
      </c>
      <c r="QB24" s="1">
        <v>1</v>
      </c>
      <c r="QC24" s="1">
        <v>0</v>
      </c>
      <c r="QD24" s="1">
        <v>1</v>
      </c>
      <c r="QE24" s="1">
        <v>1</v>
      </c>
      <c r="QF24" s="1">
        <v>1</v>
      </c>
      <c r="QG24" s="1">
        <v>0</v>
      </c>
      <c r="QH24" s="1">
        <v>0</v>
      </c>
      <c r="QI24" s="1">
        <v>0</v>
      </c>
      <c r="QJ24" s="1">
        <v>1</v>
      </c>
      <c r="QK24" s="1">
        <v>1</v>
      </c>
      <c r="QL24" s="1">
        <v>0</v>
      </c>
      <c r="QM24" s="1">
        <v>0</v>
      </c>
      <c r="QN24" s="1">
        <v>1</v>
      </c>
      <c r="QP24" s="1" t="s">
        <v>1156</v>
      </c>
      <c r="QQ24" s="1" t="s">
        <v>1822</v>
      </c>
      <c r="QR24" s="1">
        <v>1</v>
      </c>
      <c r="QS24" s="1">
        <v>1</v>
      </c>
      <c r="QT24" s="1">
        <v>0</v>
      </c>
      <c r="QU24" s="1">
        <v>1</v>
      </c>
      <c r="QV24" s="1">
        <v>1</v>
      </c>
      <c r="QW24" s="1">
        <v>1</v>
      </c>
      <c r="QX24" s="1" t="s">
        <v>2846</v>
      </c>
      <c r="QY24" s="1" t="s">
        <v>1155</v>
      </c>
      <c r="RG24" s="1">
        <v>50</v>
      </c>
      <c r="RH24" s="1" t="s">
        <v>1156</v>
      </c>
      <c r="RI24" s="1" t="s">
        <v>1157</v>
      </c>
      <c r="RJ24" s="1" t="s">
        <v>2493</v>
      </c>
      <c r="RK24" s="1">
        <v>0</v>
      </c>
      <c r="RL24" s="1">
        <v>1</v>
      </c>
      <c r="RM24" s="1">
        <v>1</v>
      </c>
      <c r="RN24" s="1">
        <v>0</v>
      </c>
      <c r="RO24" s="1">
        <v>0</v>
      </c>
      <c r="RP24" s="1">
        <v>0</v>
      </c>
      <c r="RQ24" s="1">
        <v>1</v>
      </c>
      <c r="RR24" s="1">
        <v>1</v>
      </c>
      <c r="RS24" s="1">
        <v>0</v>
      </c>
      <c r="RT24" s="1">
        <v>0</v>
      </c>
      <c r="SE24" s="1" t="s">
        <v>2195</v>
      </c>
      <c r="SF24" s="57">
        <v>30</v>
      </c>
      <c r="SG24" s="1">
        <v>0</v>
      </c>
      <c r="SH24" s="1">
        <v>3</v>
      </c>
      <c r="SI24" s="1">
        <v>10</v>
      </c>
      <c r="SJ24" s="1">
        <v>1</v>
      </c>
      <c r="SK24" s="1">
        <v>2</v>
      </c>
      <c r="SL24" s="1">
        <v>10</v>
      </c>
      <c r="SM24" s="1">
        <v>4</v>
      </c>
      <c r="SN24" s="1" t="s">
        <v>2396</v>
      </c>
      <c r="SO24" s="1">
        <v>0</v>
      </c>
      <c r="SP24" s="1">
        <v>0</v>
      </c>
      <c r="SQ24" s="1">
        <v>0</v>
      </c>
      <c r="SR24" s="1">
        <v>0</v>
      </c>
      <c r="SS24" s="1">
        <v>0</v>
      </c>
      <c r="ST24" s="1">
        <v>1</v>
      </c>
      <c r="SU24" s="1">
        <v>0</v>
      </c>
      <c r="SV24" s="1">
        <v>0</v>
      </c>
      <c r="SW24" s="1">
        <v>1</v>
      </c>
      <c r="SX24" s="1">
        <v>0</v>
      </c>
      <c r="SY24" s="1">
        <v>0</v>
      </c>
      <c r="SZ24" s="1">
        <v>0</v>
      </c>
      <c r="TA24" s="1" t="s">
        <v>2847</v>
      </c>
      <c r="TB24" s="1" t="s">
        <v>1155</v>
      </c>
      <c r="TJ24" s="1" t="s">
        <v>1155</v>
      </c>
      <c r="UF24" s="1" t="s">
        <v>1164</v>
      </c>
      <c r="UG24" s="1">
        <v>0</v>
      </c>
      <c r="UH24" s="1">
        <v>0</v>
      </c>
      <c r="UI24" s="1">
        <v>0</v>
      </c>
      <c r="UJ24" s="1">
        <v>0</v>
      </c>
      <c r="UK24" s="1">
        <v>1</v>
      </c>
      <c r="UM24" s="57" t="s">
        <v>3242</v>
      </c>
      <c r="UN24" s="57"/>
      <c r="UO24" s="1" t="s">
        <v>1156</v>
      </c>
      <c r="UP24" s="1" t="s">
        <v>2494</v>
      </c>
      <c r="UQ24" s="1">
        <v>0</v>
      </c>
      <c r="UR24" s="1">
        <v>0</v>
      </c>
      <c r="US24" s="1">
        <v>1</v>
      </c>
      <c r="UT24" s="1">
        <v>0</v>
      </c>
      <c r="UU24" s="1">
        <v>0</v>
      </c>
      <c r="UV24" s="1">
        <v>1</v>
      </c>
      <c r="UW24" s="1">
        <v>1</v>
      </c>
      <c r="UX24" s="1">
        <v>0</v>
      </c>
      <c r="UY24" s="1">
        <v>1</v>
      </c>
      <c r="UZ24" s="1">
        <v>0</v>
      </c>
      <c r="VA24" s="1">
        <v>0</v>
      </c>
      <c r="VB24" s="1">
        <v>0</v>
      </c>
      <c r="VC24" s="1">
        <v>0</v>
      </c>
      <c r="VD24" s="1">
        <v>0</v>
      </c>
      <c r="VE24" s="1">
        <v>0</v>
      </c>
      <c r="VF24" s="1">
        <v>1</v>
      </c>
      <c r="VG24" s="1" t="s">
        <v>2495</v>
      </c>
      <c r="VH24" s="1" t="s">
        <v>2496</v>
      </c>
      <c r="VI24" s="1">
        <v>1</v>
      </c>
      <c r="VJ24" s="1">
        <v>1</v>
      </c>
      <c r="VK24" s="1">
        <v>0</v>
      </c>
      <c r="VL24" s="1">
        <v>0</v>
      </c>
      <c r="VM24" s="1">
        <v>1</v>
      </c>
      <c r="VN24" s="1">
        <v>0</v>
      </c>
      <c r="VO24" s="1">
        <v>1</v>
      </c>
      <c r="VP24" s="1">
        <v>1</v>
      </c>
      <c r="VQ24" s="1">
        <v>1</v>
      </c>
      <c r="VR24" s="1">
        <v>0</v>
      </c>
      <c r="VS24" s="1">
        <v>0</v>
      </c>
      <c r="VT24" s="1">
        <v>0</v>
      </c>
      <c r="VU24" s="1">
        <v>0</v>
      </c>
      <c r="VW24" s="1" t="s">
        <v>1156</v>
      </c>
      <c r="VX24" s="1" t="s">
        <v>2497</v>
      </c>
      <c r="VY24" s="1">
        <v>1</v>
      </c>
      <c r="VZ24" s="1">
        <v>0</v>
      </c>
      <c r="WA24" s="1">
        <v>1</v>
      </c>
      <c r="WB24" s="1">
        <v>0</v>
      </c>
      <c r="WC24" s="1">
        <v>1</v>
      </c>
      <c r="WD24" s="1">
        <v>0</v>
      </c>
      <c r="WE24" s="1">
        <v>0</v>
      </c>
      <c r="WG24" s="1" t="s">
        <v>2498</v>
      </c>
      <c r="WH24" s="1">
        <v>1</v>
      </c>
      <c r="WI24" s="1">
        <v>0</v>
      </c>
      <c r="WJ24" s="1">
        <v>0</v>
      </c>
      <c r="WK24" s="1">
        <v>0</v>
      </c>
      <c r="WL24" s="1">
        <v>0</v>
      </c>
      <c r="WM24" s="1">
        <v>0</v>
      </c>
      <c r="WN24" s="1">
        <v>1</v>
      </c>
      <c r="WO24" s="1">
        <v>0</v>
      </c>
      <c r="WP24" s="1">
        <v>0</v>
      </c>
      <c r="WQ24" s="1">
        <v>1</v>
      </c>
      <c r="WR24" s="1">
        <v>1</v>
      </c>
      <c r="WS24" s="1">
        <v>0</v>
      </c>
      <c r="WT24" s="1">
        <v>0</v>
      </c>
      <c r="WV24" s="1" t="s">
        <v>1155</v>
      </c>
      <c r="WW24" s="1" t="s">
        <v>2350</v>
      </c>
      <c r="WX24" s="1">
        <v>0</v>
      </c>
      <c r="WY24" s="1">
        <v>1</v>
      </c>
      <c r="WZ24" s="1">
        <v>0</v>
      </c>
      <c r="XA24" s="1">
        <v>0</v>
      </c>
      <c r="XB24" s="1">
        <v>0</v>
      </c>
      <c r="XD24" s="1" t="s">
        <v>2499</v>
      </c>
      <c r="XE24" s="1">
        <v>1</v>
      </c>
      <c r="XF24" s="1">
        <v>1</v>
      </c>
      <c r="XG24" s="1">
        <v>0</v>
      </c>
      <c r="XH24" s="1">
        <v>1</v>
      </c>
      <c r="XI24" s="1">
        <v>1</v>
      </c>
      <c r="XJ24" s="1">
        <v>1</v>
      </c>
      <c r="XK24" s="1">
        <v>1</v>
      </c>
      <c r="XL24" s="1">
        <v>1</v>
      </c>
      <c r="XM24" s="1">
        <v>1</v>
      </c>
      <c r="XN24" s="1">
        <v>1</v>
      </c>
      <c r="XO24" s="1">
        <v>1</v>
      </c>
      <c r="XP24" s="1">
        <v>0</v>
      </c>
      <c r="XQ24" s="1">
        <v>1</v>
      </c>
      <c r="XR24" s="1" t="s">
        <v>2500</v>
      </c>
      <c r="XT24" s="1" t="s">
        <v>1156</v>
      </c>
      <c r="XU24" s="1" t="s">
        <v>2501</v>
      </c>
      <c r="XV24" s="1">
        <v>0</v>
      </c>
      <c r="XW24" s="1">
        <v>1</v>
      </c>
      <c r="XX24" s="1">
        <v>1</v>
      </c>
      <c r="XY24" s="1">
        <v>1</v>
      </c>
      <c r="XZ24" s="1">
        <v>1</v>
      </c>
      <c r="YA24" s="1">
        <v>0</v>
      </c>
      <c r="YB24" s="1">
        <v>0</v>
      </c>
      <c r="YC24" s="1">
        <v>0</v>
      </c>
      <c r="YE24" s="1" t="s">
        <v>1156</v>
      </c>
      <c r="YF24" s="1" t="s">
        <v>1155</v>
      </c>
      <c r="YH24" s="1" t="s">
        <v>1156</v>
      </c>
      <c r="YI24" s="1" t="s">
        <v>2204</v>
      </c>
      <c r="YJ24" s="1">
        <v>1</v>
      </c>
      <c r="YK24" s="1">
        <v>1</v>
      </c>
      <c r="YL24" s="1">
        <v>1</v>
      </c>
      <c r="YM24" s="1">
        <v>1</v>
      </c>
      <c r="YN24" s="1">
        <v>1</v>
      </c>
      <c r="YO24" s="1">
        <v>1</v>
      </c>
      <c r="YP24" s="1">
        <v>0</v>
      </c>
      <c r="YQ24" s="1">
        <v>0</v>
      </c>
      <c r="YS24" s="1" t="s">
        <v>1155</v>
      </c>
      <c r="ZA24" s="1" t="s">
        <v>1156</v>
      </c>
      <c r="ZB24" s="1">
        <v>1</v>
      </c>
      <c r="ZF24" s="1" t="s">
        <v>1155</v>
      </c>
      <c r="ZH24" s="1">
        <v>30</v>
      </c>
      <c r="ZI24" s="1" t="s">
        <v>1160</v>
      </c>
      <c r="ZK24" s="1" t="s">
        <v>1155</v>
      </c>
      <c r="ZL24" s="1" t="s">
        <v>1156</v>
      </c>
      <c r="ZM24" s="1" t="s">
        <v>1156</v>
      </c>
      <c r="ZN24" s="1" t="s">
        <v>1155</v>
      </c>
      <c r="ZO24" s="1" t="s">
        <v>1156</v>
      </c>
      <c r="ZP24" s="1">
        <v>4</v>
      </c>
      <c r="ZQ24" s="1" t="s">
        <v>1155</v>
      </c>
      <c r="AVT24" s="1">
        <v>136622911</v>
      </c>
      <c r="AVU24" s="1" t="s">
        <v>2502</v>
      </c>
      <c r="AVW24" s="1">
        <v>269</v>
      </c>
    </row>
    <row r="25" spans="1:1271" x14ac:dyDescent="0.3">
      <c r="A25" s="1" t="s">
        <v>2503</v>
      </c>
      <c r="B25" s="1" t="s">
        <v>2504</v>
      </c>
      <c r="C25" s="1" t="s">
        <v>2505</v>
      </c>
      <c r="D25" s="1" t="s">
        <v>2345</v>
      </c>
      <c r="E25" s="1">
        <v>356676102903926</v>
      </c>
      <c r="F25" s="1" t="s">
        <v>2345</v>
      </c>
      <c r="I25" s="1" t="s">
        <v>1659</v>
      </c>
      <c r="J25" s="1" t="s">
        <v>2346</v>
      </c>
      <c r="K25" s="1" t="s">
        <v>2346</v>
      </c>
      <c r="N25" s="1" t="s">
        <v>1153</v>
      </c>
      <c r="O25" s="1">
        <v>1</v>
      </c>
      <c r="P25" s="1">
        <v>0</v>
      </c>
      <c r="Q25" s="1">
        <v>0</v>
      </c>
      <c r="R25" s="1">
        <v>0</v>
      </c>
      <c r="S25" s="1">
        <v>0</v>
      </c>
      <c r="U25" s="1" t="s">
        <v>1840</v>
      </c>
      <c r="W25" s="1" t="s">
        <v>1156</v>
      </c>
      <c r="X25" s="1" t="s">
        <v>1156</v>
      </c>
      <c r="AN25" s="1" t="s">
        <v>1182</v>
      </c>
      <c r="AO25" s="1">
        <v>100</v>
      </c>
      <c r="AP25" s="1" t="s">
        <v>1196</v>
      </c>
      <c r="AR25" s="1" t="s">
        <v>1801</v>
      </c>
      <c r="AS25" s="1" t="s">
        <v>1841</v>
      </c>
      <c r="AT25" s="1" t="s">
        <v>1156</v>
      </c>
      <c r="AU25" s="1" t="s">
        <v>1157</v>
      </c>
      <c r="AV25" s="1" t="s">
        <v>2506</v>
      </c>
      <c r="AW25" s="1">
        <v>0</v>
      </c>
      <c r="AX25" s="1">
        <v>0</v>
      </c>
      <c r="AY25" s="1">
        <v>0</v>
      </c>
      <c r="AZ25" s="1">
        <v>1</v>
      </c>
      <c r="BA25" s="1">
        <v>0</v>
      </c>
      <c r="BB25" s="1">
        <v>0</v>
      </c>
      <c r="BC25" s="1">
        <v>0</v>
      </c>
      <c r="BD25" s="1">
        <v>0</v>
      </c>
      <c r="BO25" s="1" t="s">
        <v>1158</v>
      </c>
      <c r="BP25" s="1">
        <v>0</v>
      </c>
      <c r="BQ25" s="1">
        <v>0</v>
      </c>
      <c r="BR25" s="1">
        <v>0</v>
      </c>
      <c r="BS25" s="1">
        <v>0</v>
      </c>
      <c r="BT25" s="1">
        <v>0</v>
      </c>
      <c r="BU25" s="1">
        <v>1</v>
      </c>
      <c r="BV25" s="1">
        <v>0</v>
      </c>
      <c r="BW25" s="1">
        <v>0</v>
      </c>
      <c r="BX25" s="1">
        <v>0</v>
      </c>
      <c r="BY25" s="1">
        <v>0</v>
      </c>
      <c r="BZ25" s="1">
        <v>0</v>
      </c>
      <c r="CA25" s="1">
        <v>0</v>
      </c>
      <c r="CC25" s="1" t="s">
        <v>1155</v>
      </c>
      <c r="DQ25" s="1" t="s">
        <v>1169</v>
      </c>
      <c r="DR25" s="2">
        <v>0</v>
      </c>
      <c r="DS25" s="2">
        <v>1</v>
      </c>
      <c r="DT25" s="2">
        <v>0</v>
      </c>
      <c r="DU25" s="2">
        <v>0</v>
      </c>
      <c r="DV25" s="2">
        <v>0</v>
      </c>
      <c r="DX25" s="1" t="s">
        <v>1193</v>
      </c>
      <c r="DY25" s="2">
        <v>0</v>
      </c>
      <c r="DZ25" s="2">
        <v>0</v>
      </c>
      <c r="EA25" s="2">
        <v>0</v>
      </c>
      <c r="EB25" s="2">
        <v>1</v>
      </c>
      <c r="EC25" s="2">
        <v>0</v>
      </c>
      <c r="ED25" s="2">
        <v>0</v>
      </c>
      <c r="EE25" s="2">
        <v>0</v>
      </c>
      <c r="EF25" s="2">
        <v>0</v>
      </c>
      <c r="EG25" s="2">
        <v>0</v>
      </c>
      <c r="EH25" s="2">
        <v>0</v>
      </c>
      <c r="EI25" s="2">
        <v>0</v>
      </c>
      <c r="EJ25" s="2">
        <v>0</v>
      </c>
      <c r="EK25" s="2">
        <v>0</v>
      </c>
      <c r="EM25" s="1" t="s">
        <v>2184</v>
      </c>
      <c r="EN25" s="2">
        <v>0</v>
      </c>
      <c r="EO25" s="2">
        <v>0</v>
      </c>
      <c r="EP25" s="2">
        <v>0</v>
      </c>
      <c r="EQ25" s="2">
        <v>0</v>
      </c>
      <c r="ER25" s="2">
        <v>1</v>
      </c>
      <c r="ES25" s="2">
        <v>1</v>
      </c>
      <c r="ET25" s="2">
        <v>1</v>
      </c>
      <c r="EU25" s="2">
        <v>0</v>
      </c>
      <c r="EV25" s="2">
        <v>0</v>
      </c>
      <c r="EW25" s="2">
        <v>0</v>
      </c>
      <c r="EX25" s="2">
        <v>0</v>
      </c>
      <c r="EY25" s="2">
        <v>0</v>
      </c>
      <c r="EZ25" s="2">
        <v>0</v>
      </c>
      <c r="FB25" s="1" t="s">
        <v>1156</v>
      </c>
      <c r="FC25" s="1" t="s">
        <v>1158</v>
      </c>
      <c r="FD25" s="2">
        <v>0</v>
      </c>
      <c r="FE25" s="2">
        <v>0</v>
      </c>
      <c r="FF25" s="2">
        <v>0</v>
      </c>
      <c r="FG25" s="2">
        <v>0</v>
      </c>
      <c r="FH25" s="2">
        <v>1</v>
      </c>
      <c r="FI25" s="2">
        <v>0</v>
      </c>
      <c r="FJ25" s="2">
        <v>0</v>
      </c>
      <c r="FL25" s="1" t="s">
        <v>2427</v>
      </c>
      <c r="FM25" s="2">
        <v>0</v>
      </c>
      <c r="FN25" s="2">
        <v>0</v>
      </c>
      <c r="FO25" s="2">
        <v>1</v>
      </c>
      <c r="FP25" s="2">
        <v>0</v>
      </c>
      <c r="FQ25" s="2">
        <v>0</v>
      </c>
      <c r="FR25" s="2">
        <v>0</v>
      </c>
      <c r="FS25" s="2">
        <v>0</v>
      </c>
      <c r="FT25" s="2">
        <v>0</v>
      </c>
      <c r="FU25" s="2">
        <v>0</v>
      </c>
      <c r="FV25" s="2">
        <v>0</v>
      </c>
      <c r="FW25" s="2">
        <v>0</v>
      </c>
      <c r="FX25" s="2">
        <v>0</v>
      </c>
      <c r="FY25" s="2">
        <v>0</v>
      </c>
      <c r="GA25" s="1" t="s">
        <v>1155</v>
      </c>
      <c r="GB25" s="1" t="s">
        <v>1180</v>
      </c>
      <c r="GC25" s="2">
        <v>1</v>
      </c>
      <c r="GD25" s="2">
        <v>0</v>
      </c>
      <c r="GE25" s="2">
        <v>0</v>
      </c>
      <c r="GF25" s="2">
        <v>0</v>
      </c>
      <c r="GG25" s="2">
        <v>0</v>
      </c>
      <c r="GI25" s="1" t="s">
        <v>1197</v>
      </c>
      <c r="GJ25" s="2">
        <v>0</v>
      </c>
      <c r="GK25" s="2">
        <v>1</v>
      </c>
      <c r="GL25" s="2">
        <v>0</v>
      </c>
      <c r="GM25" s="2">
        <v>0</v>
      </c>
      <c r="GN25" s="2">
        <v>0</v>
      </c>
      <c r="GO25" s="2">
        <v>0</v>
      </c>
      <c r="GP25" s="2">
        <v>0</v>
      </c>
      <c r="GQ25" s="2">
        <v>0</v>
      </c>
      <c r="GR25" s="2">
        <v>0</v>
      </c>
      <c r="GS25" s="2">
        <v>0</v>
      </c>
      <c r="GT25" s="2">
        <v>0</v>
      </c>
      <c r="GU25" s="2">
        <v>0</v>
      </c>
      <c r="GV25" s="2">
        <v>0</v>
      </c>
      <c r="AVT25" s="1">
        <v>136622956</v>
      </c>
      <c r="AVU25" s="1" t="s">
        <v>2507</v>
      </c>
      <c r="AVW25" s="1">
        <v>272</v>
      </c>
    </row>
    <row r="26" spans="1:1271" x14ac:dyDescent="0.3">
      <c r="A26" s="1" t="s">
        <v>2508</v>
      </c>
      <c r="B26" s="1" t="s">
        <v>2509</v>
      </c>
      <c r="C26" s="1" t="s">
        <v>2510</v>
      </c>
      <c r="D26" s="1" t="s">
        <v>2345</v>
      </c>
      <c r="E26" s="1">
        <v>356676102908909</v>
      </c>
      <c r="F26" s="1" t="s">
        <v>2345</v>
      </c>
      <c r="I26" s="1" t="s">
        <v>1659</v>
      </c>
      <c r="J26" s="1" t="s">
        <v>2346</v>
      </c>
      <c r="K26" s="1" t="s">
        <v>2346</v>
      </c>
      <c r="N26" s="1" t="s">
        <v>2511</v>
      </c>
      <c r="O26" s="1">
        <v>0</v>
      </c>
      <c r="P26" s="1">
        <v>1</v>
      </c>
      <c r="Q26" s="1">
        <v>0</v>
      </c>
      <c r="R26" s="1">
        <v>0</v>
      </c>
      <c r="S26" s="1">
        <v>0</v>
      </c>
      <c r="GZ26" s="1" t="s">
        <v>2512</v>
      </c>
      <c r="HB26" s="1" t="s">
        <v>2513</v>
      </c>
      <c r="HD26" s="1" t="s">
        <v>1155</v>
      </c>
      <c r="HE26" s="1" t="s">
        <v>1156</v>
      </c>
      <c r="HT26" s="1" t="s">
        <v>1156</v>
      </c>
      <c r="HU26" s="1" t="s">
        <v>1156</v>
      </c>
      <c r="HV26" s="1">
        <v>6</v>
      </c>
      <c r="HW26" s="1">
        <v>6</v>
      </c>
      <c r="HX26" s="1" t="s">
        <v>1155</v>
      </c>
      <c r="HY26" s="1" t="s">
        <v>1156</v>
      </c>
      <c r="IB26" s="1" t="s">
        <v>1156</v>
      </c>
      <c r="IC26" s="1">
        <v>100</v>
      </c>
      <c r="ID26" s="1" t="s">
        <v>1833</v>
      </c>
      <c r="IE26" s="1" t="s">
        <v>2145</v>
      </c>
      <c r="IG26" s="1" t="s">
        <v>1156</v>
      </c>
      <c r="IH26" s="1" t="s">
        <v>1157</v>
      </c>
      <c r="II26" s="1" t="s">
        <v>2514</v>
      </c>
      <c r="IJ26" s="1">
        <v>1</v>
      </c>
      <c r="IK26" s="1">
        <v>0</v>
      </c>
      <c r="IL26" s="1">
        <v>1</v>
      </c>
      <c r="IM26" s="1">
        <v>1</v>
      </c>
      <c r="IN26" s="1">
        <v>1</v>
      </c>
      <c r="IO26" s="1">
        <v>0</v>
      </c>
      <c r="IP26" s="1">
        <v>0</v>
      </c>
      <c r="IQ26" s="1">
        <v>0</v>
      </c>
      <c r="JB26" s="1" t="s">
        <v>1158</v>
      </c>
      <c r="JC26" s="1">
        <v>0</v>
      </c>
      <c r="JD26" s="1">
        <v>0</v>
      </c>
      <c r="JE26" s="1">
        <v>0</v>
      </c>
      <c r="JF26" s="1">
        <v>0</v>
      </c>
      <c r="JG26" s="1">
        <v>0</v>
      </c>
      <c r="JH26" s="1">
        <v>1</v>
      </c>
      <c r="JI26" s="1">
        <v>0</v>
      </c>
      <c r="JJ26" s="1">
        <v>0</v>
      </c>
      <c r="JK26" s="1">
        <v>0</v>
      </c>
      <c r="JL26" s="1">
        <v>0</v>
      </c>
      <c r="JM26" s="1">
        <v>0</v>
      </c>
      <c r="JN26" s="1">
        <v>0</v>
      </c>
      <c r="JP26" s="1" t="s">
        <v>1155</v>
      </c>
      <c r="LD26" s="1" t="s">
        <v>1164</v>
      </c>
      <c r="LE26" s="1">
        <v>0</v>
      </c>
      <c r="LF26" s="1">
        <v>0</v>
      </c>
      <c r="LG26" s="1">
        <v>0</v>
      </c>
      <c r="LH26" s="1">
        <v>0</v>
      </c>
      <c r="LI26" s="1">
        <v>1</v>
      </c>
      <c r="LK26" s="1" t="s">
        <v>2515</v>
      </c>
      <c r="LL26" s="1">
        <v>0</v>
      </c>
      <c r="LM26" s="1">
        <v>0</v>
      </c>
      <c r="LN26" s="1">
        <v>1</v>
      </c>
      <c r="LO26" s="1">
        <v>0</v>
      </c>
      <c r="LP26" s="1">
        <v>0</v>
      </c>
      <c r="LQ26" s="1">
        <v>0</v>
      </c>
      <c r="LR26" s="1">
        <v>0</v>
      </c>
      <c r="LS26" s="1">
        <v>0</v>
      </c>
      <c r="LT26" s="1">
        <v>0</v>
      </c>
      <c r="LU26" s="1">
        <v>0</v>
      </c>
      <c r="LV26" s="1">
        <v>0</v>
      </c>
      <c r="LW26" s="1">
        <v>0</v>
      </c>
      <c r="LX26" s="1">
        <v>1</v>
      </c>
      <c r="LZ26" s="1" t="s">
        <v>2516</v>
      </c>
      <c r="MA26" s="1">
        <v>0</v>
      </c>
      <c r="MB26" s="1">
        <v>0</v>
      </c>
      <c r="MC26" s="1">
        <v>0</v>
      </c>
      <c r="MD26" s="1">
        <v>0</v>
      </c>
      <c r="ME26" s="1">
        <v>1</v>
      </c>
      <c r="MF26" s="1">
        <v>1</v>
      </c>
      <c r="MG26" s="1">
        <v>1</v>
      </c>
      <c r="MH26" s="1">
        <v>1</v>
      </c>
      <c r="MI26" s="1">
        <v>0</v>
      </c>
      <c r="MJ26" s="1">
        <v>0</v>
      </c>
      <c r="MK26" s="1">
        <v>0</v>
      </c>
      <c r="ML26" s="1">
        <v>0</v>
      </c>
      <c r="MM26" s="1">
        <v>0</v>
      </c>
      <c r="MO26" s="1" t="s">
        <v>1155</v>
      </c>
      <c r="NV26" s="1" t="s">
        <v>2517</v>
      </c>
      <c r="NW26" s="1">
        <v>1</v>
      </c>
      <c r="NX26" s="1">
        <v>1</v>
      </c>
      <c r="NY26" s="1">
        <v>1</v>
      </c>
      <c r="NZ26" s="1">
        <v>1</v>
      </c>
      <c r="OA26" s="1">
        <v>0</v>
      </c>
      <c r="OB26" s="1">
        <v>1</v>
      </c>
      <c r="OC26" s="1">
        <v>1</v>
      </c>
      <c r="OD26" s="1">
        <v>1</v>
      </c>
      <c r="OE26" s="1">
        <v>1</v>
      </c>
      <c r="OF26" s="1">
        <v>1</v>
      </c>
      <c r="OG26" s="1">
        <v>0</v>
      </c>
      <c r="OH26" s="1">
        <v>0</v>
      </c>
      <c r="OI26" s="1">
        <v>0</v>
      </c>
      <c r="AVT26" s="1">
        <v>136622964</v>
      </c>
      <c r="AVU26" s="1" t="s">
        <v>2518</v>
      </c>
      <c r="AVW26" s="1">
        <v>274</v>
      </c>
    </row>
    <row r="27" spans="1:1271" x14ac:dyDescent="0.3">
      <c r="A27" s="1" t="s">
        <v>2519</v>
      </c>
      <c r="B27" s="1" t="s">
        <v>2520</v>
      </c>
      <c r="C27" s="1" t="s">
        <v>2521</v>
      </c>
      <c r="D27" s="1" t="s">
        <v>2345</v>
      </c>
      <c r="E27" s="1">
        <v>356676101957824</v>
      </c>
      <c r="F27" s="1" t="s">
        <v>2345</v>
      </c>
      <c r="I27" s="1" t="s">
        <v>1659</v>
      </c>
      <c r="J27" s="1" t="s">
        <v>2346</v>
      </c>
      <c r="K27" s="1" t="s">
        <v>2346</v>
      </c>
      <c r="N27" s="1" t="s">
        <v>1153</v>
      </c>
      <c r="O27" s="1">
        <v>1</v>
      </c>
      <c r="P27" s="1">
        <v>0</v>
      </c>
      <c r="Q27" s="1">
        <v>0</v>
      </c>
      <c r="R27" s="1">
        <v>0</v>
      </c>
      <c r="S27" s="1">
        <v>0</v>
      </c>
      <c r="U27" s="1" t="s">
        <v>2167</v>
      </c>
      <c r="W27" s="1" t="s">
        <v>1156</v>
      </c>
      <c r="X27" s="1" t="s">
        <v>1156</v>
      </c>
      <c r="AN27" s="1" t="s">
        <v>1192</v>
      </c>
      <c r="AO27" s="1">
        <v>150</v>
      </c>
      <c r="AP27" s="1" t="s">
        <v>2145</v>
      </c>
      <c r="AR27" s="1" t="s">
        <v>1801</v>
      </c>
      <c r="AS27" s="1" t="s">
        <v>1833</v>
      </c>
      <c r="AT27" s="1" t="s">
        <v>1156</v>
      </c>
      <c r="AU27" s="1" t="s">
        <v>1157</v>
      </c>
      <c r="AV27" s="1" t="s">
        <v>2522</v>
      </c>
      <c r="AW27" s="1">
        <v>1</v>
      </c>
      <c r="AX27" s="1">
        <v>1</v>
      </c>
      <c r="AY27" s="1">
        <v>1</v>
      </c>
      <c r="AZ27" s="1">
        <v>1</v>
      </c>
      <c r="BA27" s="1">
        <v>0</v>
      </c>
      <c r="BB27" s="1">
        <v>0</v>
      </c>
      <c r="BC27" s="1">
        <v>0</v>
      </c>
      <c r="BD27" s="1">
        <v>0</v>
      </c>
      <c r="BO27" s="1" t="s">
        <v>1158</v>
      </c>
      <c r="BP27" s="1">
        <v>0</v>
      </c>
      <c r="BQ27" s="1">
        <v>0</v>
      </c>
      <c r="BR27" s="1">
        <v>0</v>
      </c>
      <c r="BS27" s="1">
        <v>0</v>
      </c>
      <c r="BT27" s="1">
        <v>0</v>
      </c>
      <c r="BU27" s="1">
        <v>1</v>
      </c>
      <c r="BV27" s="1">
        <v>0</v>
      </c>
      <c r="BW27" s="1">
        <v>0</v>
      </c>
      <c r="BX27" s="1">
        <v>0</v>
      </c>
      <c r="BY27" s="1">
        <v>0</v>
      </c>
      <c r="BZ27" s="1">
        <v>0</v>
      </c>
      <c r="CA27" s="1">
        <v>0</v>
      </c>
      <c r="CC27" s="1" t="s">
        <v>1155</v>
      </c>
      <c r="DQ27" s="1" t="s">
        <v>1164</v>
      </c>
      <c r="DR27" s="2">
        <v>0</v>
      </c>
      <c r="DS27" s="2">
        <v>0</v>
      </c>
      <c r="DT27" s="2">
        <v>0</v>
      </c>
      <c r="DU27" s="2">
        <v>0</v>
      </c>
      <c r="DV27" s="2">
        <v>1</v>
      </c>
      <c r="DX27" s="1" t="s">
        <v>2523</v>
      </c>
      <c r="DY27" s="2">
        <v>1</v>
      </c>
      <c r="DZ27" s="2">
        <v>1</v>
      </c>
      <c r="EA27" s="2">
        <v>1</v>
      </c>
      <c r="EB27" s="2">
        <v>0</v>
      </c>
      <c r="EC27" s="2">
        <v>0</v>
      </c>
      <c r="ED27" s="2">
        <v>0</v>
      </c>
      <c r="EE27" s="2">
        <v>0</v>
      </c>
      <c r="EF27" s="2">
        <v>0</v>
      </c>
      <c r="EG27" s="2">
        <v>0</v>
      </c>
      <c r="EH27" s="2">
        <v>0</v>
      </c>
      <c r="EI27" s="2">
        <v>0</v>
      </c>
      <c r="EJ27" s="2">
        <v>0</v>
      </c>
      <c r="EK27" s="2">
        <v>0</v>
      </c>
      <c r="EM27" s="1" t="s">
        <v>1164</v>
      </c>
      <c r="EN27" s="2">
        <v>0</v>
      </c>
      <c r="EO27" s="2">
        <v>0</v>
      </c>
      <c r="EP27" s="2">
        <v>0</v>
      </c>
      <c r="EQ27" s="2">
        <v>0</v>
      </c>
      <c r="ER27" s="2">
        <v>0</v>
      </c>
      <c r="ES27" s="2">
        <v>0</v>
      </c>
      <c r="ET27" s="2">
        <v>0</v>
      </c>
      <c r="EU27" s="2">
        <v>0</v>
      </c>
      <c r="EV27" s="2">
        <v>0</v>
      </c>
      <c r="EW27" s="2">
        <v>1</v>
      </c>
      <c r="EX27" s="2">
        <v>0</v>
      </c>
      <c r="EY27" s="2">
        <v>0</v>
      </c>
      <c r="EZ27" s="2">
        <v>0</v>
      </c>
      <c r="FB27" s="1" t="s">
        <v>1155</v>
      </c>
      <c r="GI27" s="1" t="s">
        <v>2524</v>
      </c>
      <c r="GJ27" s="2">
        <v>0</v>
      </c>
      <c r="GK27" s="2">
        <v>1</v>
      </c>
      <c r="GL27" s="2">
        <v>1</v>
      </c>
      <c r="GM27" s="2">
        <v>0</v>
      </c>
      <c r="GN27" s="2">
        <v>1</v>
      </c>
      <c r="GO27" s="2">
        <v>0</v>
      </c>
      <c r="GP27" s="2">
        <v>0</v>
      </c>
      <c r="GQ27" s="2">
        <v>0</v>
      </c>
      <c r="GR27" s="2">
        <v>1</v>
      </c>
      <c r="GS27" s="2">
        <v>0</v>
      </c>
      <c r="GT27" s="2">
        <v>1</v>
      </c>
      <c r="GU27" s="2">
        <v>0</v>
      </c>
      <c r="GV27" s="2">
        <v>0</v>
      </c>
      <c r="AVT27" s="1">
        <v>136623009</v>
      </c>
      <c r="AVU27" s="1" t="s">
        <v>2525</v>
      </c>
      <c r="AVW27" s="1">
        <v>278</v>
      </c>
    </row>
    <row r="28" spans="1:1271" x14ac:dyDescent="0.3">
      <c r="A28" s="1" t="s">
        <v>2526</v>
      </c>
      <c r="B28" s="1" t="s">
        <v>2527</v>
      </c>
      <c r="C28" s="1" t="s">
        <v>2528</v>
      </c>
      <c r="D28" s="1" t="s">
        <v>2345</v>
      </c>
      <c r="E28" s="1">
        <v>356676102903926</v>
      </c>
      <c r="F28" s="1" t="s">
        <v>2345</v>
      </c>
      <c r="I28" s="1" t="s">
        <v>1659</v>
      </c>
      <c r="J28" s="1" t="s">
        <v>2346</v>
      </c>
      <c r="K28" s="1" t="s">
        <v>2346</v>
      </c>
      <c r="N28" s="1" t="s">
        <v>1153</v>
      </c>
      <c r="O28" s="1">
        <v>1</v>
      </c>
      <c r="P28" s="1">
        <v>0</v>
      </c>
      <c r="Q28" s="1">
        <v>0</v>
      </c>
      <c r="R28" s="1">
        <v>0</v>
      </c>
      <c r="S28" s="1">
        <v>0</v>
      </c>
      <c r="U28" s="1" t="s">
        <v>2259</v>
      </c>
      <c r="W28" s="1" t="s">
        <v>1156</v>
      </c>
      <c r="X28" s="1" t="s">
        <v>1156</v>
      </c>
      <c r="AN28" s="1" t="s">
        <v>1182</v>
      </c>
      <c r="AO28" s="1">
        <v>50</v>
      </c>
      <c r="AP28" s="1" t="s">
        <v>1196</v>
      </c>
      <c r="AR28" s="1" t="s">
        <v>1801</v>
      </c>
      <c r="AS28" s="1" t="s">
        <v>1164</v>
      </c>
      <c r="AT28" s="1" t="s">
        <v>1156</v>
      </c>
      <c r="AU28" s="1" t="s">
        <v>1186</v>
      </c>
      <c r="AV28" s="1" t="s">
        <v>2484</v>
      </c>
      <c r="AW28" s="1">
        <v>0</v>
      </c>
      <c r="AX28" s="1">
        <v>0</v>
      </c>
      <c r="AY28" s="1">
        <v>1</v>
      </c>
      <c r="AZ28" s="1">
        <v>0</v>
      </c>
      <c r="BA28" s="1">
        <v>0</v>
      </c>
      <c r="BB28" s="1">
        <v>0</v>
      </c>
      <c r="BC28" s="1">
        <v>0</v>
      </c>
      <c r="BD28" s="1">
        <v>0</v>
      </c>
      <c r="BO28" s="1" t="s">
        <v>1765</v>
      </c>
      <c r="BP28" s="1">
        <v>0</v>
      </c>
      <c r="BQ28" s="1">
        <v>0</v>
      </c>
      <c r="BR28" s="1">
        <v>0</v>
      </c>
      <c r="BS28" s="1">
        <v>0</v>
      </c>
      <c r="BT28" s="1">
        <v>0</v>
      </c>
      <c r="BU28" s="1">
        <v>0</v>
      </c>
      <c r="BV28" s="1">
        <v>0</v>
      </c>
      <c r="BW28" s="1">
        <v>0</v>
      </c>
      <c r="BX28" s="1">
        <v>0</v>
      </c>
      <c r="BY28" s="1">
        <v>1</v>
      </c>
      <c r="BZ28" s="1">
        <v>0</v>
      </c>
      <c r="CA28" s="1">
        <v>0</v>
      </c>
      <c r="CC28" s="1" t="s">
        <v>1155</v>
      </c>
      <c r="DQ28" s="1" t="s">
        <v>1397</v>
      </c>
      <c r="DR28" s="2">
        <v>1</v>
      </c>
      <c r="DS28" s="2">
        <v>0</v>
      </c>
      <c r="DT28" s="2">
        <v>0</v>
      </c>
      <c r="DU28" s="2">
        <v>0</v>
      </c>
      <c r="DV28" s="2">
        <v>0</v>
      </c>
      <c r="DX28" s="1" t="s">
        <v>1393</v>
      </c>
      <c r="DY28" s="2">
        <v>1</v>
      </c>
      <c r="DZ28" s="2">
        <v>0</v>
      </c>
      <c r="EA28" s="2">
        <v>0</v>
      </c>
      <c r="EB28" s="2">
        <v>0</v>
      </c>
      <c r="EC28" s="2">
        <v>0</v>
      </c>
      <c r="ED28" s="2">
        <v>0</v>
      </c>
      <c r="EE28" s="2">
        <v>0</v>
      </c>
      <c r="EF28" s="2">
        <v>0</v>
      </c>
      <c r="EG28" s="2">
        <v>0</v>
      </c>
      <c r="EH28" s="2">
        <v>0</v>
      </c>
      <c r="EI28" s="2">
        <v>0</v>
      </c>
      <c r="EJ28" s="2">
        <v>0</v>
      </c>
      <c r="EK28" s="2">
        <v>0</v>
      </c>
      <c r="EM28" s="1" t="s">
        <v>1984</v>
      </c>
      <c r="EN28" s="2">
        <v>0</v>
      </c>
      <c r="EO28" s="2">
        <v>0</v>
      </c>
      <c r="EP28" s="2">
        <v>0</v>
      </c>
      <c r="EQ28" s="2">
        <v>0</v>
      </c>
      <c r="ER28" s="2">
        <v>0</v>
      </c>
      <c r="ES28" s="2">
        <v>0</v>
      </c>
      <c r="ET28" s="2">
        <v>1</v>
      </c>
      <c r="EU28" s="2">
        <v>0</v>
      </c>
      <c r="EV28" s="2">
        <v>0</v>
      </c>
      <c r="EW28" s="2">
        <v>0</v>
      </c>
      <c r="EX28" s="2">
        <v>0</v>
      </c>
      <c r="EY28" s="2">
        <v>0</v>
      </c>
      <c r="EZ28" s="2">
        <v>0</v>
      </c>
      <c r="FB28" s="1" t="s">
        <v>1155</v>
      </c>
      <c r="GI28" s="1" t="s">
        <v>2427</v>
      </c>
      <c r="GJ28" s="2">
        <v>0</v>
      </c>
      <c r="GK28" s="2">
        <v>0</v>
      </c>
      <c r="GL28" s="2">
        <v>1</v>
      </c>
      <c r="GM28" s="2">
        <v>0</v>
      </c>
      <c r="GN28" s="2">
        <v>0</v>
      </c>
      <c r="GO28" s="2">
        <v>0</v>
      </c>
      <c r="GP28" s="2">
        <v>0</v>
      </c>
      <c r="GQ28" s="2">
        <v>0</v>
      </c>
      <c r="GR28" s="2">
        <v>0</v>
      </c>
      <c r="GS28" s="2">
        <v>0</v>
      </c>
      <c r="GT28" s="2">
        <v>0</v>
      </c>
      <c r="GU28" s="2">
        <v>0</v>
      </c>
      <c r="GV28" s="2">
        <v>0</v>
      </c>
      <c r="AVT28" s="1">
        <v>136623014</v>
      </c>
      <c r="AVU28" s="1" t="s">
        <v>2529</v>
      </c>
      <c r="AVW28" s="1">
        <v>279</v>
      </c>
    </row>
    <row r="29" spans="1:1271" x14ac:dyDescent="0.3">
      <c r="A29" s="1" t="s">
        <v>2530</v>
      </c>
      <c r="B29" s="1" t="s">
        <v>2531</v>
      </c>
      <c r="C29" s="1" t="s">
        <v>2532</v>
      </c>
      <c r="D29" s="1" t="s">
        <v>2345</v>
      </c>
      <c r="E29" s="1">
        <v>356676102908909</v>
      </c>
      <c r="F29" s="1" t="s">
        <v>2345</v>
      </c>
      <c r="I29" s="1" t="s">
        <v>1659</v>
      </c>
      <c r="J29" s="1" t="s">
        <v>2346</v>
      </c>
      <c r="K29" s="1" t="s">
        <v>2346</v>
      </c>
      <c r="N29" s="1" t="s">
        <v>1160</v>
      </c>
      <c r="O29" s="1">
        <v>0</v>
      </c>
      <c r="P29" s="1">
        <v>0</v>
      </c>
      <c r="Q29" s="1">
        <v>0</v>
      </c>
      <c r="R29" s="1">
        <v>0</v>
      </c>
      <c r="S29" s="1">
        <v>1</v>
      </c>
      <c r="AKT29" s="1" t="s">
        <v>2533</v>
      </c>
      <c r="AKU29" s="1" t="s">
        <v>1156</v>
      </c>
      <c r="ALF29" s="1" t="s">
        <v>1155</v>
      </c>
      <c r="ALG29" s="1" t="s">
        <v>1156</v>
      </c>
      <c r="ALN29" s="1" t="s">
        <v>2534</v>
      </c>
      <c r="ALO29" s="1">
        <v>1</v>
      </c>
      <c r="ALP29" s="1">
        <v>1</v>
      </c>
      <c r="ALQ29" s="1">
        <v>1</v>
      </c>
      <c r="ALR29" s="1">
        <v>0</v>
      </c>
      <c r="ALS29" s="1">
        <v>0</v>
      </c>
      <c r="ALT29" s="1">
        <v>0</v>
      </c>
      <c r="ALU29" s="1">
        <v>0</v>
      </c>
      <c r="ALV29" s="1">
        <v>0</v>
      </c>
      <c r="ALX29" s="1" t="s">
        <v>1165</v>
      </c>
      <c r="ALY29" s="1">
        <v>1</v>
      </c>
      <c r="ALZ29" s="1">
        <v>1</v>
      </c>
      <c r="AMA29" s="1">
        <v>1</v>
      </c>
      <c r="AMB29" s="1">
        <v>1</v>
      </c>
      <c r="AMC29" s="1">
        <v>1</v>
      </c>
      <c r="AMD29" s="1">
        <v>1</v>
      </c>
      <c r="AME29" s="1">
        <v>1</v>
      </c>
      <c r="AMF29" s="1" t="s">
        <v>2125</v>
      </c>
      <c r="AMG29" s="1">
        <v>0</v>
      </c>
      <c r="AMH29" s="1">
        <v>1</v>
      </c>
      <c r="AMI29" s="1">
        <v>0</v>
      </c>
      <c r="AMJ29" s="1">
        <v>0</v>
      </c>
      <c r="AMK29" s="1">
        <v>0</v>
      </c>
      <c r="AMM29" s="1" t="s">
        <v>1155</v>
      </c>
      <c r="AMW29" s="1">
        <v>250</v>
      </c>
      <c r="AMX29" s="1" t="s">
        <v>1156</v>
      </c>
      <c r="AMY29" s="1" t="s">
        <v>1166</v>
      </c>
      <c r="ANK29" s="1" t="s">
        <v>2535</v>
      </c>
      <c r="ANL29" s="1">
        <v>1</v>
      </c>
      <c r="ANM29" s="1">
        <v>0</v>
      </c>
      <c r="ANN29" s="1">
        <v>0</v>
      </c>
      <c r="ANO29" s="1">
        <v>0</v>
      </c>
      <c r="ANP29" s="1">
        <v>1</v>
      </c>
      <c r="ANQ29" s="1">
        <v>1</v>
      </c>
      <c r="ANR29" s="1">
        <v>0</v>
      </c>
      <c r="ANS29" s="1">
        <v>1</v>
      </c>
      <c r="ANT29" s="1">
        <v>0</v>
      </c>
      <c r="ANU29" s="1">
        <v>0</v>
      </c>
      <c r="ANV29" s="1">
        <v>0</v>
      </c>
      <c r="ANX29" s="1" t="s">
        <v>1155</v>
      </c>
      <c r="ANZ29" s="1" t="s">
        <v>1396</v>
      </c>
      <c r="AOA29" s="1">
        <v>1</v>
      </c>
      <c r="AOB29" s="1">
        <v>1</v>
      </c>
      <c r="AOC29" s="1">
        <v>0</v>
      </c>
      <c r="AOD29" s="1">
        <v>0</v>
      </c>
      <c r="AOE29" s="1">
        <v>0</v>
      </c>
      <c r="AOF29" s="1">
        <v>0</v>
      </c>
      <c r="AOG29" s="1">
        <v>0</v>
      </c>
      <c r="AOH29" s="1">
        <v>0</v>
      </c>
      <c r="AOJ29" s="1" t="s">
        <v>1199</v>
      </c>
      <c r="AOL29" s="1" t="s">
        <v>1394</v>
      </c>
      <c r="AOO29" s="1" t="s">
        <v>2536</v>
      </c>
      <c r="AOP29" s="1">
        <v>1</v>
      </c>
      <c r="AOQ29" s="1">
        <v>1</v>
      </c>
      <c r="AOR29" s="1">
        <v>0</v>
      </c>
      <c r="AOS29" s="1">
        <v>0</v>
      </c>
      <c r="AOT29" s="1">
        <v>0</v>
      </c>
      <c r="AOU29" s="1">
        <v>1</v>
      </c>
      <c r="AOV29" s="1">
        <v>0</v>
      </c>
      <c r="AOW29" s="1">
        <v>0</v>
      </c>
      <c r="AOY29" s="1" t="s">
        <v>1199</v>
      </c>
      <c r="APA29" s="63" t="s">
        <v>2128</v>
      </c>
      <c r="APB29" s="1" t="s">
        <v>2537</v>
      </c>
      <c r="APD29" s="1">
        <v>100</v>
      </c>
      <c r="APF29" s="1" t="s">
        <v>1156</v>
      </c>
      <c r="APG29" s="1" t="s">
        <v>1166</v>
      </c>
      <c r="APQ29" s="1" t="s">
        <v>2538</v>
      </c>
      <c r="APR29" s="1">
        <v>0</v>
      </c>
      <c r="APS29" s="1">
        <v>1</v>
      </c>
      <c r="APT29" s="1">
        <v>1</v>
      </c>
      <c r="APU29" s="1">
        <v>0</v>
      </c>
      <c r="APV29" s="1">
        <v>0</v>
      </c>
      <c r="APW29" s="1">
        <v>0</v>
      </c>
      <c r="APX29" s="1">
        <v>1</v>
      </c>
      <c r="APY29" s="1" t="s">
        <v>2539</v>
      </c>
      <c r="APZ29" s="1" t="s">
        <v>1164</v>
      </c>
      <c r="AQA29" s="1">
        <v>0</v>
      </c>
      <c r="AQB29" s="1">
        <v>0</v>
      </c>
      <c r="AQC29" s="1">
        <v>0</v>
      </c>
      <c r="AQD29" s="1">
        <v>0</v>
      </c>
      <c r="AQE29" s="1">
        <v>0</v>
      </c>
      <c r="AQF29" s="1">
        <v>0</v>
      </c>
      <c r="ARG29" s="1" t="s">
        <v>2540</v>
      </c>
      <c r="ARH29" s="1">
        <v>0</v>
      </c>
      <c r="ARI29" s="1">
        <v>0</v>
      </c>
      <c r="ARJ29" s="1">
        <v>1</v>
      </c>
      <c r="ARK29" s="1">
        <v>1</v>
      </c>
      <c r="ARL29" s="1">
        <v>0</v>
      </c>
      <c r="ARM29" s="1">
        <v>0</v>
      </c>
      <c r="ARN29" s="1">
        <v>0</v>
      </c>
      <c r="ARO29" s="1">
        <v>0</v>
      </c>
      <c r="ARP29" s="1">
        <v>0</v>
      </c>
      <c r="ARQ29" s="1">
        <v>0</v>
      </c>
      <c r="ARR29" s="1">
        <v>0</v>
      </c>
      <c r="ARS29" s="1">
        <v>0</v>
      </c>
      <c r="ARU29" s="1" t="s">
        <v>2844</v>
      </c>
      <c r="ARV29" s="1">
        <v>0</v>
      </c>
      <c r="ARW29" s="1">
        <v>0</v>
      </c>
      <c r="ARX29" s="1">
        <v>0</v>
      </c>
      <c r="ARY29" s="1">
        <v>0</v>
      </c>
      <c r="ARZ29" s="1">
        <v>1</v>
      </c>
      <c r="ASA29" s="1">
        <v>0</v>
      </c>
      <c r="ASB29" s="1">
        <v>0</v>
      </c>
      <c r="ASD29" s="1" t="s">
        <v>1156</v>
      </c>
      <c r="ASE29" s="1" t="s">
        <v>2541</v>
      </c>
      <c r="ASF29" s="1">
        <v>1</v>
      </c>
      <c r="ASG29" s="1">
        <v>1</v>
      </c>
      <c r="ASH29" s="1">
        <v>1</v>
      </c>
      <c r="ASI29" s="1">
        <v>0</v>
      </c>
      <c r="ASJ29" s="1">
        <v>0</v>
      </c>
      <c r="ASK29" s="1">
        <v>0</v>
      </c>
      <c r="ASL29" s="1">
        <v>0</v>
      </c>
      <c r="ASN29" s="1" t="s">
        <v>1164</v>
      </c>
      <c r="ASO29" s="1">
        <v>0</v>
      </c>
      <c r="ASP29" s="1">
        <v>0</v>
      </c>
      <c r="ASQ29" s="1">
        <v>0</v>
      </c>
      <c r="ASR29" s="1">
        <v>0</v>
      </c>
      <c r="ASS29" s="1">
        <v>1</v>
      </c>
      <c r="ASU29" s="1" t="s">
        <v>1164</v>
      </c>
      <c r="ASV29" s="1">
        <v>0</v>
      </c>
      <c r="ASW29" s="1">
        <v>0</v>
      </c>
      <c r="ASX29" s="1">
        <v>0</v>
      </c>
      <c r="ASY29" s="1">
        <v>0</v>
      </c>
      <c r="ASZ29" s="1">
        <v>0</v>
      </c>
      <c r="ATA29" s="1">
        <v>0</v>
      </c>
      <c r="ATB29" s="1">
        <v>0</v>
      </c>
      <c r="ATC29" s="1">
        <v>0</v>
      </c>
      <c r="ATD29" s="1">
        <v>0</v>
      </c>
      <c r="ATE29" s="1">
        <v>1</v>
      </c>
      <c r="ATF29" s="1">
        <v>0</v>
      </c>
      <c r="ATG29" s="1">
        <v>0</v>
      </c>
      <c r="ATH29" s="1">
        <v>0</v>
      </c>
      <c r="ATJ29" s="1" t="s">
        <v>2542</v>
      </c>
      <c r="ATK29" s="1">
        <v>1</v>
      </c>
      <c r="ATL29" s="1">
        <v>1</v>
      </c>
      <c r="ATM29" s="1">
        <v>1</v>
      </c>
      <c r="ATN29" s="1">
        <v>1</v>
      </c>
      <c r="ATO29" s="1">
        <v>0</v>
      </c>
      <c r="ATP29" s="1">
        <v>0</v>
      </c>
      <c r="ATQ29" s="1">
        <v>0</v>
      </c>
      <c r="ATR29" s="1">
        <v>0</v>
      </c>
      <c r="ATS29" s="1">
        <v>0</v>
      </c>
      <c r="ATT29" s="1">
        <v>0</v>
      </c>
      <c r="ATU29" s="1">
        <v>1</v>
      </c>
      <c r="ATV29" s="1">
        <v>1</v>
      </c>
      <c r="ATW29" s="1">
        <v>0</v>
      </c>
      <c r="ATX29" s="1">
        <v>1</v>
      </c>
      <c r="ATY29" s="1">
        <v>0</v>
      </c>
      <c r="ATZ29" s="1">
        <v>0</v>
      </c>
      <c r="AUA29" s="1">
        <v>0</v>
      </c>
      <c r="AUC29" s="1" t="s">
        <v>1155</v>
      </c>
      <c r="AVG29" s="1" t="s">
        <v>2543</v>
      </c>
      <c r="AVH29" s="1">
        <v>1</v>
      </c>
      <c r="AVI29" s="1">
        <v>1</v>
      </c>
      <c r="AVJ29" s="1">
        <v>1</v>
      </c>
      <c r="AVK29" s="1">
        <v>0</v>
      </c>
      <c r="AVL29" s="1">
        <v>1</v>
      </c>
      <c r="AVM29" s="1">
        <v>1</v>
      </c>
      <c r="AVN29" s="1">
        <v>0</v>
      </c>
      <c r="AVO29" s="1">
        <v>0</v>
      </c>
      <c r="AVP29" s="1">
        <v>0</v>
      </c>
      <c r="AVT29" s="1">
        <v>136623060</v>
      </c>
      <c r="AVU29" s="1" t="s">
        <v>2544</v>
      </c>
      <c r="AVW29" s="1">
        <v>282</v>
      </c>
    </row>
    <row r="30" spans="1:1271" x14ac:dyDescent="0.3">
      <c r="A30" s="1" t="s">
        <v>2545</v>
      </c>
      <c r="B30" s="1" t="s">
        <v>2546</v>
      </c>
      <c r="C30" s="1" t="s">
        <v>2547</v>
      </c>
      <c r="D30" s="1" t="s">
        <v>2345</v>
      </c>
      <c r="E30" s="1">
        <v>356676101957824</v>
      </c>
      <c r="F30" s="1" t="s">
        <v>2345</v>
      </c>
      <c r="I30" s="1" t="s">
        <v>1659</v>
      </c>
      <c r="J30" s="1" t="s">
        <v>2346</v>
      </c>
      <c r="K30" s="1" t="s">
        <v>2346</v>
      </c>
      <c r="N30" s="1" t="s">
        <v>1153</v>
      </c>
      <c r="O30" s="1">
        <v>1</v>
      </c>
      <c r="P30" s="1">
        <v>0</v>
      </c>
      <c r="Q30" s="1">
        <v>0</v>
      </c>
      <c r="R30" s="1">
        <v>0</v>
      </c>
      <c r="S30" s="1">
        <v>0</v>
      </c>
      <c r="U30" s="1" t="s">
        <v>1840</v>
      </c>
      <c r="W30" s="1" t="s">
        <v>1156</v>
      </c>
      <c r="X30" s="1" t="s">
        <v>1156</v>
      </c>
      <c r="AN30" s="1" t="s">
        <v>1182</v>
      </c>
      <c r="AO30" s="1">
        <v>180</v>
      </c>
      <c r="AP30" s="1" t="s">
        <v>2145</v>
      </c>
      <c r="AR30" s="1" t="s">
        <v>1801</v>
      </c>
      <c r="AS30" s="1" t="s">
        <v>1833</v>
      </c>
      <c r="AT30" s="1" t="s">
        <v>1156</v>
      </c>
      <c r="AU30" s="1" t="s">
        <v>1157</v>
      </c>
      <c r="AV30" s="1" t="s">
        <v>2548</v>
      </c>
      <c r="AW30" s="1">
        <v>1</v>
      </c>
      <c r="AX30" s="1">
        <v>0</v>
      </c>
      <c r="AY30" s="1">
        <v>1</v>
      </c>
      <c r="AZ30" s="1">
        <v>1</v>
      </c>
      <c r="BA30" s="1">
        <v>0</v>
      </c>
      <c r="BB30" s="1">
        <v>0</v>
      </c>
      <c r="BC30" s="1">
        <v>0</v>
      </c>
      <c r="BD30" s="1">
        <v>0</v>
      </c>
      <c r="BO30" s="1" t="s">
        <v>1158</v>
      </c>
      <c r="BP30" s="1">
        <v>0</v>
      </c>
      <c r="BQ30" s="1">
        <v>0</v>
      </c>
      <c r="BR30" s="1">
        <v>0</v>
      </c>
      <c r="BS30" s="1">
        <v>0</v>
      </c>
      <c r="BT30" s="1">
        <v>0</v>
      </c>
      <c r="BU30" s="1">
        <v>1</v>
      </c>
      <c r="BV30" s="1">
        <v>0</v>
      </c>
      <c r="BW30" s="1">
        <v>0</v>
      </c>
      <c r="BX30" s="1">
        <v>0</v>
      </c>
      <c r="BY30" s="1">
        <v>0</v>
      </c>
      <c r="BZ30" s="1">
        <v>0</v>
      </c>
      <c r="CA30" s="1">
        <v>0</v>
      </c>
      <c r="CC30" s="1" t="s">
        <v>1155</v>
      </c>
      <c r="DQ30" s="1" t="s">
        <v>1169</v>
      </c>
      <c r="DR30" s="2">
        <v>0</v>
      </c>
      <c r="DS30" s="2">
        <v>1</v>
      </c>
      <c r="DT30" s="2">
        <v>0</v>
      </c>
      <c r="DU30" s="2">
        <v>0</v>
      </c>
      <c r="DV30" s="2">
        <v>0</v>
      </c>
      <c r="DX30" s="1" t="s">
        <v>2549</v>
      </c>
      <c r="DY30" s="2">
        <v>0</v>
      </c>
      <c r="DZ30" s="2">
        <v>1</v>
      </c>
      <c r="EA30" s="2">
        <v>0</v>
      </c>
      <c r="EB30" s="2">
        <v>0</v>
      </c>
      <c r="EC30" s="2">
        <v>1</v>
      </c>
      <c r="ED30" s="2">
        <v>0</v>
      </c>
      <c r="EE30" s="2">
        <v>0</v>
      </c>
      <c r="EF30" s="2">
        <v>0</v>
      </c>
      <c r="EG30" s="2">
        <v>0</v>
      </c>
      <c r="EH30" s="2">
        <v>0</v>
      </c>
      <c r="EI30" s="2">
        <v>0</v>
      </c>
      <c r="EJ30" s="2">
        <v>0</v>
      </c>
      <c r="EK30" s="2">
        <v>1</v>
      </c>
      <c r="EM30" s="1" t="s">
        <v>1194</v>
      </c>
      <c r="EN30" s="2">
        <v>0</v>
      </c>
      <c r="EO30" s="2">
        <v>0</v>
      </c>
      <c r="EP30" s="2">
        <v>0</v>
      </c>
      <c r="EQ30" s="2">
        <v>0</v>
      </c>
      <c r="ER30" s="2">
        <v>1</v>
      </c>
      <c r="ES30" s="2">
        <v>0</v>
      </c>
      <c r="ET30" s="2">
        <v>0</v>
      </c>
      <c r="EU30" s="2">
        <v>0</v>
      </c>
      <c r="EV30" s="2">
        <v>0</v>
      </c>
      <c r="EW30" s="2">
        <v>0</v>
      </c>
      <c r="EX30" s="2">
        <v>0</v>
      </c>
      <c r="EY30" s="2">
        <v>0</v>
      </c>
      <c r="EZ30" s="2">
        <v>0</v>
      </c>
      <c r="FB30" s="1" t="s">
        <v>1156</v>
      </c>
      <c r="FC30" s="1" t="s">
        <v>1158</v>
      </c>
      <c r="FD30" s="2">
        <v>0</v>
      </c>
      <c r="FE30" s="2">
        <v>0</v>
      </c>
      <c r="FF30" s="2">
        <v>0</v>
      </c>
      <c r="FG30" s="2">
        <v>0</v>
      </c>
      <c r="FH30" s="2">
        <v>1</v>
      </c>
      <c r="FI30" s="2">
        <v>0</v>
      </c>
      <c r="FJ30" s="2">
        <v>0</v>
      </c>
      <c r="FL30" s="1" t="s">
        <v>2349</v>
      </c>
      <c r="FM30" s="2">
        <v>0</v>
      </c>
      <c r="FN30" s="2">
        <v>1</v>
      </c>
      <c r="FO30" s="2">
        <v>0</v>
      </c>
      <c r="FP30" s="2">
        <v>0</v>
      </c>
      <c r="FQ30" s="2">
        <v>0</v>
      </c>
      <c r="FR30" s="2">
        <v>0</v>
      </c>
      <c r="FS30" s="2">
        <v>1</v>
      </c>
      <c r="FT30" s="2">
        <v>0</v>
      </c>
      <c r="FU30" s="2">
        <v>0</v>
      </c>
      <c r="FV30" s="2">
        <v>0</v>
      </c>
      <c r="FW30" s="2">
        <v>0</v>
      </c>
      <c r="FX30" s="2">
        <v>0</v>
      </c>
      <c r="FY30" s="2">
        <v>0</v>
      </c>
      <c r="GA30" s="1" t="s">
        <v>1156</v>
      </c>
      <c r="GI30" s="1" t="s">
        <v>2550</v>
      </c>
      <c r="GJ30" s="2">
        <v>0</v>
      </c>
      <c r="GK30" s="2">
        <v>1</v>
      </c>
      <c r="GL30" s="2">
        <v>0</v>
      </c>
      <c r="GM30" s="2">
        <v>0</v>
      </c>
      <c r="GN30" s="2">
        <v>1</v>
      </c>
      <c r="GO30" s="2">
        <v>0</v>
      </c>
      <c r="GP30" s="2">
        <v>1</v>
      </c>
      <c r="GQ30" s="2">
        <v>0</v>
      </c>
      <c r="GR30" s="2">
        <v>0</v>
      </c>
      <c r="GS30" s="2">
        <v>0</v>
      </c>
      <c r="GT30" s="2">
        <v>0</v>
      </c>
      <c r="GU30" s="2">
        <v>0</v>
      </c>
      <c r="GV30" s="2">
        <v>0</v>
      </c>
      <c r="AVT30" s="1">
        <v>136623073</v>
      </c>
      <c r="AVU30" s="1" t="s">
        <v>2551</v>
      </c>
      <c r="AVW30" s="1">
        <v>284</v>
      </c>
    </row>
    <row r="31" spans="1:1271" x14ac:dyDescent="0.3">
      <c r="A31" s="1" t="s">
        <v>2552</v>
      </c>
      <c r="B31" s="1" t="s">
        <v>2553</v>
      </c>
      <c r="C31" s="1" t="s">
        <v>2554</v>
      </c>
      <c r="D31" s="1" t="s">
        <v>2345</v>
      </c>
      <c r="E31" s="1">
        <v>356676102903926</v>
      </c>
      <c r="F31" s="1" t="s">
        <v>2345</v>
      </c>
      <c r="I31" s="1" t="s">
        <v>1659</v>
      </c>
      <c r="J31" s="1" t="s">
        <v>2346</v>
      </c>
      <c r="K31" s="1" t="s">
        <v>2346</v>
      </c>
      <c r="N31" s="1" t="s">
        <v>1153</v>
      </c>
      <c r="O31" s="1">
        <v>1</v>
      </c>
      <c r="P31" s="1">
        <v>0</v>
      </c>
      <c r="Q31" s="1">
        <v>0</v>
      </c>
      <c r="R31" s="1">
        <v>0</v>
      </c>
      <c r="S31" s="1">
        <v>0</v>
      </c>
      <c r="U31" s="1" t="s">
        <v>2259</v>
      </c>
      <c r="W31" s="1" t="s">
        <v>1155</v>
      </c>
      <c r="X31" s="1" t="s">
        <v>1156</v>
      </c>
      <c r="AN31" s="1" t="s">
        <v>1182</v>
      </c>
      <c r="AO31" s="1">
        <v>20</v>
      </c>
      <c r="AP31" s="1" t="s">
        <v>1196</v>
      </c>
      <c r="AR31" s="1" t="s">
        <v>1801</v>
      </c>
      <c r="AS31" s="1" t="s">
        <v>1164</v>
      </c>
      <c r="AT31" s="1" t="s">
        <v>1156</v>
      </c>
      <c r="AU31" s="1" t="s">
        <v>1186</v>
      </c>
      <c r="AV31" s="1" t="s">
        <v>2484</v>
      </c>
      <c r="AW31" s="1">
        <v>0</v>
      </c>
      <c r="AX31" s="1">
        <v>0</v>
      </c>
      <c r="AY31" s="1">
        <v>1</v>
      </c>
      <c r="AZ31" s="1">
        <v>0</v>
      </c>
      <c r="BA31" s="1">
        <v>0</v>
      </c>
      <c r="BB31" s="1">
        <v>0</v>
      </c>
      <c r="BC31" s="1">
        <v>0</v>
      </c>
      <c r="BD31" s="1">
        <v>0</v>
      </c>
      <c r="BO31" s="1" t="s">
        <v>1802</v>
      </c>
      <c r="BP31" s="1">
        <v>0</v>
      </c>
      <c r="BQ31" s="1">
        <v>0</v>
      </c>
      <c r="BR31" s="1">
        <v>0</v>
      </c>
      <c r="BS31" s="1">
        <v>0</v>
      </c>
      <c r="BT31" s="1">
        <v>0</v>
      </c>
      <c r="BU31" s="1">
        <v>0</v>
      </c>
      <c r="BV31" s="1">
        <v>0</v>
      </c>
      <c r="BW31" s="1">
        <v>0</v>
      </c>
      <c r="BX31" s="1">
        <v>0</v>
      </c>
      <c r="BY31" s="1">
        <v>0</v>
      </c>
      <c r="BZ31" s="1">
        <v>1</v>
      </c>
      <c r="CA31" s="1">
        <v>0</v>
      </c>
      <c r="CC31" s="1" t="s">
        <v>1155</v>
      </c>
      <c r="DQ31" s="1" t="s">
        <v>1169</v>
      </c>
      <c r="DR31" s="2">
        <v>0</v>
      </c>
      <c r="DS31" s="2">
        <v>1</v>
      </c>
      <c r="DT31" s="2">
        <v>0</v>
      </c>
      <c r="DU31" s="2">
        <v>0</v>
      </c>
      <c r="DV31" s="2">
        <v>0</v>
      </c>
      <c r="DX31" s="1" t="s">
        <v>1393</v>
      </c>
      <c r="DY31" s="2">
        <v>1</v>
      </c>
      <c r="DZ31" s="2">
        <v>0</v>
      </c>
      <c r="EA31" s="2">
        <v>0</v>
      </c>
      <c r="EB31" s="2">
        <v>0</v>
      </c>
      <c r="EC31" s="2">
        <v>0</v>
      </c>
      <c r="ED31" s="2">
        <v>0</v>
      </c>
      <c r="EE31" s="2">
        <v>0</v>
      </c>
      <c r="EF31" s="2">
        <v>0</v>
      </c>
      <c r="EG31" s="2">
        <v>0</v>
      </c>
      <c r="EH31" s="2">
        <v>0</v>
      </c>
      <c r="EI31" s="2">
        <v>0</v>
      </c>
      <c r="EJ31" s="2">
        <v>0</v>
      </c>
      <c r="EK31" s="2">
        <v>0</v>
      </c>
      <c r="EM31" s="1" t="s">
        <v>1164</v>
      </c>
      <c r="EN31" s="2">
        <v>0</v>
      </c>
      <c r="EO31" s="2">
        <v>0</v>
      </c>
      <c r="EP31" s="2">
        <v>0</v>
      </c>
      <c r="EQ31" s="2">
        <v>0</v>
      </c>
      <c r="ER31" s="2">
        <v>0</v>
      </c>
      <c r="ES31" s="2">
        <v>0</v>
      </c>
      <c r="ET31" s="2">
        <v>0</v>
      </c>
      <c r="EU31" s="2">
        <v>0</v>
      </c>
      <c r="EV31" s="2">
        <v>0</v>
      </c>
      <c r="EW31" s="2">
        <v>1</v>
      </c>
      <c r="EX31" s="2">
        <v>0</v>
      </c>
      <c r="EY31" s="2">
        <v>0</v>
      </c>
      <c r="EZ31" s="2">
        <v>0</v>
      </c>
      <c r="FB31" s="1" t="s">
        <v>1155</v>
      </c>
      <c r="GI31" s="1" t="s">
        <v>2427</v>
      </c>
      <c r="GJ31" s="2">
        <v>0</v>
      </c>
      <c r="GK31" s="2">
        <v>0</v>
      </c>
      <c r="GL31" s="2">
        <v>1</v>
      </c>
      <c r="GM31" s="2">
        <v>0</v>
      </c>
      <c r="GN31" s="2">
        <v>0</v>
      </c>
      <c r="GO31" s="2">
        <v>0</v>
      </c>
      <c r="GP31" s="2">
        <v>0</v>
      </c>
      <c r="GQ31" s="2">
        <v>0</v>
      </c>
      <c r="GR31" s="2">
        <v>0</v>
      </c>
      <c r="GS31" s="2">
        <v>0</v>
      </c>
      <c r="GT31" s="2">
        <v>0</v>
      </c>
      <c r="GU31" s="2">
        <v>0</v>
      </c>
      <c r="GV31" s="2">
        <v>0</v>
      </c>
      <c r="AVT31" s="1">
        <v>136623092</v>
      </c>
      <c r="AVU31" s="1" t="s">
        <v>2555</v>
      </c>
      <c r="AVW31" s="1">
        <v>286</v>
      </c>
    </row>
    <row r="32" spans="1:1271" x14ac:dyDescent="0.3">
      <c r="A32" s="1" t="s">
        <v>2556</v>
      </c>
      <c r="B32" s="1" t="s">
        <v>2557</v>
      </c>
      <c r="C32" s="1" t="s">
        <v>2558</v>
      </c>
      <c r="D32" s="1" t="s">
        <v>2345</v>
      </c>
      <c r="E32" s="1">
        <v>356676102908909</v>
      </c>
      <c r="F32" s="1" t="s">
        <v>2345</v>
      </c>
      <c r="I32" s="1" t="s">
        <v>1659</v>
      </c>
      <c r="J32" s="1" t="s">
        <v>2346</v>
      </c>
      <c r="K32" s="1" t="s">
        <v>2346</v>
      </c>
      <c r="N32" s="1" t="s">
        <v>1153</v>
      </c>
      <c r="O32" s="1">
        <v>1</v>
      </c>
      <c r="P32" s="1">
        <v>0</v>
      </c>
      <c r="Q32" s="1">
        <v>0</v>
      </c>
      <c r="R32" s="1">
        <v>0</v>
      </c>
      <c r="S32" s="1">
        <v>0</v>
      </c>
      <c r="U32" s="1" t="s">
        <v>1840</v>
      </c>
      <c r="W32" s="1" t="s">
        <v>1155</v>
      </c>
      <c r="X32" s="1" t="s">
        <v>1156</v>
      </c>
      <c r="AN32" s="1" t="s">
        <v>1182</v>
      </c>
      <c r="AO32" s="1">
        <v>115</v>
      </c>
      <c r="AP32" s="1" t="s">
        <v>2559</v>
      </c>
      <c r="AR32" s="1" t="s">
        <v>1801</v>
      </c>
      <c r="AS32" s="1" t="s">
        <v>1841</v>
      </c>
      <c r="AT32" s="1" t="s">
        <v>1155</v>
      </c>
      <c r="BO32" s="1" t="s">
        <v>1188</v>
      </c>
      <c r="BP32" s="1">
        <v>1</v>
      </c>
      <c r="BQ32" s="1">
        <v>0</v>
      </c>
      <c r="BR32" s="1">
        <v>0</v>
      </c>
      <c r="BS32" s="1">
        <v>0</v>
      </c>
      <c r="BT32" s="1">
        <v>0</v>
      </c>
      <c r="BU32" s="1">
        <v>0</v>
      </c>
      <c r="BV32" s="1">
        <v>0</v>
      </c>
      <c r="BW32" s="1">
        <v>0</v>
      </c>
      <c r="BX32" s="1">
        <v>0</v>
      </c>
      <c r="BY32" s="1">
        <v>0</v>
      </c>
      <c r="BZ32" s="1">
        <v>0</v>
      </c>
      <c r="CA32" s="1">
        <v>0</v>
      </c>
      <c r="CC32" s="1" t="s">
        <v>1155</v>
      </c>
      <c r="DQ32" s="1" t="s">
        <v>1164</v>
      </c>
      <c r="DR32" s="2">
        <v>0</v>
      </c>
      <c r="DS32" s="2">
        <v>0</v>
      </c>
      <c r="DT32" s="2">
        <v>0</v>
      </c>
      <c r="DU32" s="2">
        <v>0</v>
      </c>
      <c r="DV32" s="2">
        <v>1</v>
      </c>
      <c r="DX32" s="1" t="s">
        <v>2560</v>
      </c>
      <c r="DY32" s="2">
        <v>1</v>
      </c>
      <c r="DZ32" s="2">
        <v>0</v>
      </c>
      <c r="EA32" s="2">
        <v>0</v>
      </c>
      <c r="EB32" s="2">
        <v>1</v>
      </c>
      <c r="EC32" s="2">
        <v>0</v>
      </c>
      <c r="ED32" s="2">
        <v>0</v>
      </c>
      <c r="EE32" s="2">
        <v>0</v>
      </c>
      <c r="EF32" s="2">
        <v>0</v>
      </c>
      <c r="EG32" s="2">
        <v>1</v>
      </c>
      <c r="EH32" s="2">
        <v>0</v>
      </c>
      <c r="EI32" s="2">
        <v>0</v>
      </c>
      <c r="EJ32" s="2">
        <v>0</v>
      </c>
      <c r="EK32" s="2">
        <v>1</v>
      </c>
      <c r="EM32" s="1" t="s">
        <v>1188</v>
      </c>
      <c r="EN32" s="2">
        <v>0</v>
      </c>
      <c r="EO32" s="2">
        <v>1</v>
      </c>
      <c r="EP32" s="2">
        <v>0</v>
      </c>
      <c r="EQ32" s="2">
        <v>0</v>
      </c>
      <c r="ER32" s="2">
        <v>0</v>
      </c>
      <c r="ES32" s="2">
        <v>0</v>
      </c>
      <c r="ET32" s="2">
        <v>0</v>
      </c>
      <c r="EU32" s="2">
        <v>0</v>
      </c>
      <c r="EV32" s="2">
        <v>0</v>
      </c>
      <c r="EW32" s="2">
        <v>0</v>
      </c>
      <c r="EX32" s="2">
        <v>0</v>
      </c>
      <c r="EY32" s="2">
        <v>0</v>
      </c>
      <c r="EZ32" s="2">
        <v>0</v>
      </c>
      <c r="FB32" s="1" t="s">
        <v>1155</v>
      </c>
      <c r="GI32" s="1" t="s">
        <v>2561</v>
      </c>
      <c r="GJ32" s="2">
        <v>1</v>
      </c>
      <c r="GK32" s="2">
        <v>0</v>
      </c>
      <c r="GL32" s="2">
        <v>0</v>
      </c>
      <c r="GM32" s="2">
        <v>0</v>
      </c>
      <c r="GN32" s="2">
        <v>0</v>
      </c>
      <c r="GO32" s="2">
        <v>0</v>
      </c>
      <c r="GP32" s="2">
        <v>0</v>
      </c>
      <c r="GQ32" s="2">
        <v>1</v>
      </c>
      <c r="GR32" s="2">
        <v>0</v>
      </c>
      <c r="GS32" s="2">
        <v>0</v>
      </c>
      <c r="GT32" s="2">
        <v>0</v>
      </c>
      <c r="GU32" s="2">
        <v>0</v>
      </c>
      <c r="GV32" s="2">
        <v>0</v>
      </c>
      <c r="AVT32" s="1">
        <v>136623144</v>
      </c>
      <c r="AVU32" s="1" t="s">
        <v>2562</v>
      </c>
      <c r="AVW32" s="1">
        <v>288</v>
      </c>
    </row>
    <row r="33" spans="1:693 1268:1271" x14ac:dyDescent="0.3">
      <c r="A33" s="1" t="s">
        <v>2563</v>
      </c>
      <c r="B33" s="1" t="s">
        <v>2564</v>
      </c>
      <c r="C33" s="1" t="s">
        <v>2565</v>
      </c>
      <c r="D33" s="1" t="s">
        <v>2345</v>
      </c>
      <c r="E33" s="1">
        <v>356676101957824</v>
      </c>
      <c r="F33" s="1" t="s">
        <v>2345</v>
      </c>
      <c r="I33" s="1" t="s">
        <v>1659</v>
      </c>
      <c r="J33" s="1" t="s">
        <v>2346</v>
      </c>
      <c r="K33" s="1" t="s">
        <v>2346</v>
      </c>
      <c r="N33" s="1" t="s">
        <v>1153</v>
      </c>
      <c r="O33" s="1">
        <v>1</v>
      </c>
      <c r="P33" s="1">
        <v>0</v>
      </c>
      <c r="Q33" s="1">
        <v>0</v>
      </c>
      <c r="R33" s="1">
        <v>0</v>
      </c>
      <c r="S33" s="1">
        <v>0</v>
      </c>
      <c r="U33" s="1" t="s">
        <v>1840</v>
      </c>
      <c r="W33" s="1" t="s">
        <v>1156</v>
      </c>
      <c r="X33" s="1" t="s">
        <v>1156</v>
      </c>
      <c r="AN33" s="1" t="s">
        <v>1182</v>
      </c>
      <c r="AO33" s="1">
        <v>100</v>
      </c>
      <c r="AP33" s="1" t="s">
        <v>2145</v>
      </c>
      <c r="AR33" s="1" t="s">
        <v>1801</v>
      </c>
      <c r="AS33" s="1" t="s">
        <v>1833</v>
      </c>
      <c r="AT33" s="1" t="s">
        <v>1156</v>
      </c>
      <c r="AU33" s="1" t="s">
        <v>1157</v>
      </c>
      <c r="AV33" s="1" t="s">
        <v>2566</v>
      </c>
      <c r="AW33" s="1">
        <v>1</v>
      </c>
      <c r="AX33" s="1">
        <v>0</v>
      </c>
      <c r="AY33" s="1">
        <v>1</v>
      </c>
      <c r="AZ33" s="1">
        <v>0</v>
      </c>
      <c r="BA33" s="1">
        <v>0</v>
      </c>
      <c r="BB33" s="1">
        <v>1</v>
      </c>
      <c r="BC33" s="1">
        <v>0</v>
      </c>
      <c r="BD33" s="1">
        <v>0</v>
      </c>
      <c r="BO33" s="1" t="s">
        <v>1158</v>
      </c>
      <c r="BP33" s="1">
        <v>0</v>
      </c>
      <c r="BQ33" s="1">
        <v>0</v>
      </c>
      <c r="BR33" s="1">
        <v>0</v>
      </c>
      <c r="BS33" s="1">
        <v>0</v>
      </c>
      <c r="BT33" s="1">
        <v>0</v>
      </c>
      <c r="BU33" s="1">
        <v>1</v>
      </c>
      <c r="BV33" s="1">
        <v>0</v>
      </c>
      <c r="BW33" s="1">
        <v>0</v>
      </c>
      <c r="BX33" s="1">
        <v>0</v>
      </c>
      <c r="BY33" s="1">
        <v>0</v>
      </c>
      <c r="BZ33" s="1">
        <v>0</v>
      </c>
      <c r="CA33" s="1">
        <v>0</v>
      </c>
      <c r="CC33" s="1" t="s">
        <v>1155</v>
      </c>
      <c r="DQ33" s="1" t="s">
        <v>1164</v>
      </c>
      <c r="DR33" s="2">
        <v>0</v>
      </c>
      <c r="DS33" s="2">
        <v>0</v>
      </c>
      <c r="DT33" s="2">
        <v>0</v>
      </c>
      <c r="DU33" s="2">
        <v>0</v>
      </c>
      <c r="DV33" s="2">
        <v>1</v>
      </c>
      <c r="DX33" s="1" t="s">
        <v>2567</v>
      </c>
      <c r="DY33" s="2">
        <v>1</v>
      </c>
      <c r="DZ33" s="2">
        <v>0</v>
      </c>
      <c r="EA33" s="2">
        <v>0</v>
      </c>
      <c r="EB33" s="2">
        <v>0</v>
      </c>
      <c r="EC33" s="2">
        <v>0</v>
      </c>
      <c r="ED33" s="2">
        <v>0</v>
      </c>
      <c r="EE33" s="2">
        <v>0</v>
      </c>
      <c r="EF33" s="2">
        <v>0</v>
      </c>
      <c r="EG33" s="2">
        <v>0</v>
      </c>
      <c r="EH33" s="2">
        <v>0</v>
      </c>
      <c r="EI33" s="2">
        <v>0</v>
      </c>
      <c r="EJ33" s="2">
        <v>0</v>
      </c>
      <c r="EK33" s="2">
        <v>1</v>
      </c>
      <c r="EM33" s="1" t="s">
        <v>1194</v>
      </c>
      <c r="EN33" s="2">
        <v>0</v>
      </c>
      <c r="EO33" s="2">
        <v>0</v>
      </c>
      <c r="EP33" s="2">
        <v>0</v>
      </c>
      <c r="EQ33" s="2">
        <v>0</v>
      </c>
      <c r="ER33" s="2">
        <v>1</v>
      </c>
      <c r="ES33" s="2">
        <v>0</v>
      </c>
      <c r="ET33" s="2">
        <v>0</v>
      </c>
      <c r="EU33" s="2">
        <v>0</v>
      </c>
      <c r="EV33" s="2">
        <v>0</v>
      </c>
      <c r="EW33" s="2">
        <v>0</v>
      </c>
      <c r="EX33" s="2">
        <v>0</v>
      </c>
      <c r="EY33" s="2">
        <v>0</v>
      </c>
      <c r="EZ33" s="2">
        <v>0</v>
      </c>
      <c r="FB33" s="1" t="s">
        <v>1156</v>
      </c>
      <c r="FC33" s="1" t="s">
        <v>1158</v>
      </c>
      <c r="FD33" s="2">
        <v>0</v>
      </c>
      <c r="FE33" s="2">
        <v>0</v>
      </c>
      <c r="FF33" s="2">
        <v>0</v>
      </c>
      <c r="FG33" s="2">
        <v>0</v>
      </c>
      <c r="FH33" s="2">
        <v>1</v>
      </c>
      <c r="FI33" s="2">
        <v>0</v>
      </c>
      <c r="FJ33" s="2">
        <v>0</v>
      </c>
      <c r="FL33" s="1" t="s">
        <v>2568</v>
      </c>
      <c r="FM33" s="2">
        <v>0</v>
      </c>
      <c r="FN33" s="2">
        <v>1</v>
      </c>
      <c r="FO33" s="2">
        <v>0</v>
      </c>
      <c r="FP33" s="2">
        <v>1</v>
      </c>
      <c r="FQ33" s="2">
        <v>0</v>
      </c>
      <c r="FR33" s="2">
        <v>0</v>
      </c>
      <c r="FS33" s="2">
        <v>0</v>
      </c>
      <c r="FT33" s="2">
        <v>1</v>
      </c>
      <c r="FU33" s="2">
        <v>0</v>
      </c>
      <c r="FV33" s="2">
        <v>0</v>
      </c>
      <c r="FW33" s="2">
        <v>0</v>
      </c>
      <c r="FX33" s="2">
        <v>0</v>
      </c>
      <c r="FY33" s="2">
        <v>0</v>
      </c>
      <c r="GA33" s="1" t="s">
        <v>1156</v>
      </c>
      <c r="GI33" s="1" t="s">
        <v>2363</v>
      </c>
      <c r="GJ33" s="2">
        <v>0</v>
      </c>
      <c r="GK33" s="2">
        <v>0</v>
      </c>
      <c r="GL33" s="2">
        <v>0</v>
      </c>
      <c r="GM33" s="2">
        <v>1</v>
      </c>
      <c r="GN33" s="2">
        <v>1</v>
      </c>
      <c r="GO33" s="2">
        <v>0</v>
      </c>
      <c r="GP33" s="2">
        <v>0</v>
      </c>
      <c r="GQ33" s="2">
        <v>0</v>
      </c>
      <c r="GR33" s="2">
        <v>0</v>
      </c>
      <c r="GS33" s="2">
        <v>0</v>
      </c>
      <c r="GT33" s="2">
        <v>0</v>
      </c>
      <c r="GU33" s="2">
        <v>0</v>
      </c>
      <c r="GV33" s="2">
        <v>0</v>
      </c>
      <c r="AVT33" s="1">
        <v>136623160</v>
      </c>
      <c r="AVU33" s="1" t="s">
        <v>2569</v>
      </c>
      <c r="AVW33" s="1">
        <v>289</v>
      </c>
    </row>
    <row r="34" spans="1:693 1268:1271" x14ac:dyDescent="0.3">
      <c r="A34" s="1" t="s">
        <v>2570</v>
      </c>
      <c r="B34" s="1" t="s">
        <v>2571</v>
      </c>
      <c r="C34" s="1" t="s">
        <v>2572</v>
      </c>
      <c r="D34" s="1" t="s">
        <v>2345</v>
      </c>
      <c r="E34" s="1">
        <v>356676102903926</v>
      </c>
      <c r="F34" s="1" t="s">
        <v>2345</v>
      </c>
      <c r="I34" s="1" t="s">
        <v>1659</v>
      </c>
      <c r="J34" s="1" t="s">
        <v>2346</v>
      </c>
      <c r="K34" s="1" t="s">
        <v>2346</v>
      </c>
      <c r="N34" s="1" t="s">
        <v>1153</v>
      </c>
      <c r="O34" s="1">
        <v>1</v>
      </c>
      <c r="P34" s="1">
        <v>0</v>
      </c>
      <c r="Q34" s="1">
        <v>0</v>
      </c>
      <c r="R34" s="1">
        <v>0</v>
      </c>
      <c r="S34" s="1">
        <v>0</v>
      </c>
      <c r="U34" s="1" t="s">
        <v>1840</v>
      </c>
      <c r="W34" s="1" t="s">
        <v>1156</v>
      </c>
      <c r="X34" s="1" t="s">
        <v>1156</v>
      </c>
      <c r="AN34" s="1" t="s">
        <v>1182</v>
      </c>
      <c r="AO34" s="1">
        <v>180</v>
      </c>
      <c r="AP34" s="1" t="s">
        <v>2145</v>
      </c>
      <c r="AR34" s="1" t="s">
        <v>1801</v>
      </c>
      <c r="AS34" s="1" t="s">
        <v>1833</v>
      </c>
      <c r="AT34" s="1" t="s">
        <v>1156</v>
      </c>
      <c r="AU34" s="1" t="s">
        <v>1157</v>
      </c>
      <c r="AV34" s="1" t="s">
        <v>1191</v>
      </c>
      <c r="AW34" s="1">
        <v>1</v>
      </c>
      <c r="AX34" s="1">
        <v>0</v>
      </c>
      <c r="AY34" s="1">
        <v>0</v>
      </c>
      <c r="AZ34" s="1">
        <v>0</v>
      </c>
      <c r="BA34" s="1">
        <v>0</v>
      </c>
      <c r="BB34" s="1">
        <v>0</v>
      </c>
      <c r="BC34" s="1">
        <v>0</v>
      </c>
      <c r="BD34" s="1">
        <v>0</v>
      </c>
      <c r="BO34" s="1" t="s">
        <v>2573</v>
      </c>
      <c r="BP34" s="1">
        <v>0</v>
      </c>
      <c r="BQ34" s="1">
        <v>0</v>
      </c>
      <c r="BR34" s="1">
        <v>0</v>
      </c>
      <c r="BS34" s="1">
        <v>0</v>
      </c>
      <c r="BT34" s="1">
        <v>0</v>
      </c>
      <c r="BU34" s="1">
        <v>1</v>
      </c>
      <c r="BV34" s="1">
        <v>0</v>
      </c>
      <c r="BW34" s="1">
        <v>0</v>
      </c>
      <c r="BX34" s="1">
        <v>0</v>
      </c>
      <c r="BY34" s="1">
        <v>0</v>
      </c>
      <c r="BZ34" s="1">
        <v>0</v>
      </c>
      <c r="CA34" s="1">
        <v>1</v>
      </c>
      <c r="CC34" s="1" t="s">
        <v>1155</v>
      </c>
      <c r="DQ34" s="1" t="s">
        <v>1397</v>
      </c>
      <c r="DR34" s="2">
        <v>1</v>
      </c>
      <c r="DS34" s="2">
        <v>0</v>
      </c>
      <c r="DT34" s="2">
        <v>0</v>
      </c>
      <c r="DU34" s="2">
        <v>0</v>
      </c>
      <c r="DV34" s="2">
        <v>0</v>
      </c>
      <c r="DX34" s="1" t="s">
        <v>1193</v>
      </c>
      <c r="DY34" s="2">
        <v>0</v>
      </c>
      <c r="DZ34" s="2">
        <v>0</v>
      </c>
      <c r="EA34" s="2">
        <v>0</v>
      </c>
      <c r="EB34" s="2">
        <v>1</v>
      </c>
      <c r="EC34" s="2">
        <v>0</v>
      </c>
      <c r="ED34" s="2">
        <v>0</v>
      </c>
      <c r="EE34" s="2">
        <v>0</v>
      </c>
      <c r="EF34" s="2">
        <v>0</v>
      </c>
      <c r="EG34" s="2">
        <v>0</v>
      </c>
      <c r="EH34" s="2">
        <v>0</v>
      </c>
      <c r="EI34" s="2">
        <v>0</v>
      </c>
      <c r="EJ34" s="2">
        <v>0</v>
      </c>
      <c r="EK34" s="2">
        <v>0</v>
      </c>
      <c r="EM34" s="1" t="s">
        <v>1194</v>
      </c>
      <c r="EN34" s="2">
        <v>0</v>
      </c>
      <c r="EO34" s="2">
        <v>0</v>
      </c>
      <c r="EP34" s="2">
        <v>0</v>
      </c>
      <c r="EQ34" s="2">
        <v>0</v>
      </c>
      <c r="ER34" s="2">
        <v>1</v>
      </c>
      <c r="ES34" s="2">
        <v>0</v>
      </c>
      <c r="ET34" s="2">
        <v>0</v>
      </c>
      <c r="EU34" s="2">
        <v>0</v>
      </c>
      <c r="EV34" s="2">
        <v>0</v>
      </c>
      <c r="EW34" s="2">
        <v>0</v>
      </c>
      <c r="EX34" s="2">
        <v>0</v>
      </c>
      <c r="EY34" s="2">
        <v>0</v>
      </c>
      <c r="EZ34" s="2">
        <v>0</v>
      </c>
      <c r="FB34" s="1" t="s">
        <v>1156</v>
      </c>
      <c r="FC34" s="1" t="s">
        <v>1158</v>
      </c>
      <c r="FD34" s="2">
        <v>0</v>
      </c>
      <c r="FE34" s="2">
        <v>0</v>
      </c>
      <c r="FF34" s="2">
        <v>0</v>
      </c>
      <c r="FG34" s="2">
        <v>0</v>
      </c>
      <c r="FH34" s="2">
        <v>1</v>
      </c>
      <c r="FI34" s="2">
        <v>0</v>
      </c>
      <c r="FJ34" s="2">
        <v>0</v>
      </c>
      <c r="FL34" s="1" t="s">
        <v>2574</v>
      </c>
      <c r="FM34" s="2">
        <v>0</v>
      </c>
      <c r="FN34" s="2">
        <v>0</v>
      </c>
      <c r="FO34" s="2">
        <v>1</v>
      </c>
      <c r="FP34" s="2">
        <v>0</v>
      </c>
      <c r="FQ34" s="2">
        <v>0</v>
      </c>
      <c r="FR34" s="2">
        <v>0</v>
      </c>
      <c r="FS34" s="2">
        <v>0</v>
      </c>
      <c r="FT34" s="2">
        <v>0</v>
      </c>
      <c r="FU34" s="2">
        <v>1</v>
      </c>
      <c r="FV34" s="2">
        <v>0</v>
      </c>
      <c r="FW34" s="2">
        <v>0</v>
      </c>
      <c r="FX34" s="2">
        <v>0</v>
      </c>
      <c r="FY34" s="2">
        <v>0</v>
      </c>
      <c r="GA34" s="1" t="s">
        <v>1155</v>
      </c>
      <c r="GB34" s="1" t="s">
        <v>2350</v>
      </c>
      <c r="GC34" s="2">
        <v>0</v>
      </c>
      <c r="GD34" s="2">
        <v>1</v>
      </c>
      <c r="GE34" s="2">
        <v>0</v>
      </c>
      <c r="GF34" s="2">
        <v>0</v>
      </c>
      <c r="GG34" s="2">
        <v>0</v>
      </c>
      <c r="GI34" s="1" t="s">
        <v>2575</v>
      </c>
      <c r="GJ34" s="2">
        <v>0</v>
      </c>
      <c r="GK34" s="2">
        <v>0</v>
      </c>
      <c r="GL34" s="2">
        <v>0</v>
      </c>
      <c r="GM34" s="2">
        <v>1</v>
      </c>
      <c r="GN34" s="2">
        <v>0</v>
      </c>
      <c r="GO34" s="2">
        <v>0</v>
      </c>
      <c r="GP34" s="2">
        <v>0</v>
      </c>
      <c r="GQ34" s="2">
        <v>0</v>
      </c>
      <c r="GR34" s="2">
        <v>0</v>
      </c>
      <c r="GS34" s="2">
        <v>0</v>
      </c>
      <c r="GT34" s="2">
        <v>0</v>
      </c>
      <c r="GU34" s="2">
        <v>0</v>
      </c>
      <c r="GV34" s="2">
        <v>0</v>
      </c>
      <c r="AVT34" s="1">
        <v>136623197</v>
      </c>
      <c r="AVU34" s="1" t="s">
        <v>2576</v>
      </c>
      <c r="AVW34" s="1">
        <v>290</v>
      </c>
    </row>
    <row r="35" spans="1:693 1268:1271" x14ac:dyDescent="0.3">
      <c r="A35" s="1" t="s">
        <v>2577</v>
      </c>
      <c r="B35" s="1" t="s">
        <v>2578</v>
      </c>
      <c r="C35" s="1" t="s">
        <v>2579</v>
      </c>
      <c r="D35" s="1" t="s">
        <v>2345</v>
      </c>
      <c r="E35" s="1">
        <v>356676101957824</v>
      </c>
      <c r="F35" s="1" t="s">
        <v>2345</v>
      </c>
      <c r="I35" s="1" t="s">
        <v>1659</v>
      </c>
      <c r="J35" s="1" t="s">
        <v>2346</v>
      </c>
      <c r="K35" s="1" t="s">
        <v>2346</v>
      </c>
      <c r="N35" s="1" t="s">
        <v>1153</v>
      </c>
      <c r="O35" s="1">
        <v>1</v>
      </c>
      <c r="P35" s="1">
        <v>0</v>
      </c>
      <c r="Q35" s="1">
        <v>0</v>
      </c>
      <c r="R35" s="1">
        <v>0</v>
      </c>
      <c r="S35" s="1">
        <v>0</v>
      </c>
      <c r="U35" s="1" t="s">
        <v>2259</v>
      </c>
      <c r="W35" s="1" t="s">
        <v>1156</v>
      </c>
      <c r="X35" s="1" t="s">
        <v>1156</v>
      </c>
      <c r="AN35" s="1" t="s">
        <v>1182</v>
      </c>
      <c r="AO35" s="1">
        <v>55</v>
      </c>
      <c r="AP35" s="1" t="s">
        <v>2145</v>
      </c>
      <c r="AR35" s="1" t="s">
        <v>1801</v>
      </c>
      <c r="AS35" s="1" t="s">
        <v>1164</v>
      </c>
      <c r="AT35" s="1" t="s">
        <v>1156</v>
      </c>
      <c r="AU35" s="1" t="s">
        <v>1186</v>
      </c>
      <c r="AV35" s="1" t="s">
        <v>2361</v>
      </c>
      <c r="AW35" s="1">
        <v>1</v>
      </c>
      <c r="AX35" s="1">
        <v>0</v>
      </c>
      <c r="AY35" s="1">
        <v>1</v>
      </c>
      <c r="AZ35" s="1">
        <v>0</v>
      </c>
      <c r="BA35" s="1">
        <v>0</v>
      </c>
      <c r="BB35" s="1">
        <v>0</v>
      </c>
      <c r="BC35" s="1">
        <v>0</v>
      </c>
      <c r="BD35" s="1">
        <v>0</v>
      </c>
      <c r="BO35" s="1" t="s">
        <v>1802</v>
      </c>
      <c r="BP35" s="1">
        <v>0</v>
      </c>
      <c r="BQ35" s="1">
        <v>0</v>
      </c>
      <c r="BR35" s="1">
        <v>0</v>
      </c>
      <c r="BS35" s="1">
        <v>0</v>
      </c>
      <c r="BT35" s="1">
        <v>0</v>
      </c>
      <c r="BU35" s="1">
        <v>0</v>
      </c>
      <c r="BV35" s="1">
        <v>0</v>
      </c>
      <c r="BW35" s="1">
        <v>0</v>
      </c>
      <c r="BX35" s="1">
        <v>0</v>
      </c>
      <c r="BY35" s="1">
        <v>0</v>
      </c>
      <c r="BZ35" s="1">
        <v>1</v>
      </c>
      <c r="CA35" s="1">
        <v>0</v>
      </c>
      <c r="CC35" s="1" t="s">
        <v>1155</v>
      </c>
      <c r="DQ35" s="1" t="s">
        <v>1164</v>
      </c>
      <c r="DR35" s="2">
        <v>0</v>
      </c>
      <c r="DS35" s="2">
        <v>0</v>
      </c>
      <c r="DT35" s="2">
        <v>0</v>
      </c>
      <c r="DU35" s="2">
        <v>0</v>
      </c>
      <c r="DV35" s="2">
        <v>1</v>
      </c>
      <c r="DX35" s="1" t="s">
        <v>2376</v>
      </c>
      <c r="DY35" s="2">
        <v>0</v>
      </c>
      <c r="DZ35" s="2">
        <v>1</v>
      </c>
      <c r="EA35" s="2">
        <v>0</v>
      </c>
      <c r="EB35" s="2">
        <v>0</v>
      </c>
      <c r="EC35" s="2">
        <v>0</v>
      </c>
      <c r="ED35" s="2">
        <v>0</v>
      </c>
      <c r="EE35" s="2">
        <v>0</v>
      </c>
      <c r="EF35" s="2">
        <v>0</v>
      </c>
      <c r="EG35" s="2">
        <v>0</v>
      </c>
      <c r="EH35" s="2">
        <v>0</v>
      </c>
      <c r="EI35" s="2">
        <v>0</v>
      </c>
      <c r="EJ35" s="2">
        <v>0</v>
      </c>
      <c r="EK35" s="2">
        <v>0</v>
      </c>
      <c r="EM35" s="1" t="s">
        <v>1164</v>
      </c>
      <c r="EN35" s="2">
        <v>0</v>
      </c>
      <c r="EO35" s="2">
        <v>0</v>
      </c>
      <c r="EP35" s="2">
        <v>0</v>
      </c>
      <c r="EQ35" s="2">
        <v>0</v>
      </c>
      <c r="ER35" s="2">
        <v>0</v>
      </c>
      <c r="ES35" s="2">
        <v>0</v>
      </c>
      <c r="ET35" s="2">
        <v>0</v>
      </c>
      <c r="EU35" s="2">
        <v>0</v>
      </c>
      <c r="EV35" s="2">
        <v>0</v>
      </c>
      <c r="EW35" s="2">
        <v>1</v>
      </c>
      <c r="EX35" s="2">
        <v>0</v>
      </c>
      <c r="EY35" s="2">
        <v>0</v>
      </c>
      <c r="EZ35" s="2">
        <v>0</v>
      </c>
      <c r="FB35" s="1" t="s">
        <v>1155</v>
      </c>
      <c r="GI35" s="1" t="s">
        <v>2580</v>
      </c>
      <c r="GJ35" s="2">
        <v>0</v>
      </c>
      <c r="GK35" s="2">
        <v>0</v>
      </c>
      <c r="GL35" s="2">
        <v>0</v>
      </c>
      <c r="GM35" s="2">
        <v>0</v>
      </c>
      <c r="GN35" s="2">
        <v>1</v>
      </c>
      <c r="GO35" s="2">
        <v>0</v>
      </c>
      <c r="GP35" s="2">
        <v>0</v>
      </c>
      <c r="GQ35" s="2">
        <v>0</v>
      </c>
      <c r="GR35" s="2">
        <v>0</v>
      </c>
      <c r="GS35" s="2">
        <v>0</v>
      </c>
      <c r="GT35" s="2">
        <v>0</v>
      </c>
      <c r="GU35" s="2">
        <v>0</v>
      </c>
      <c r="GV35" s="2">
        <v>0</v>
      </c>
      <c r="AVT35" s="1">
        <v>136623248</v>
      </c>
      <c r="AVU35" s="1" t="s">
        <v>2581</v>
      </c>
      <c r="AVW35" s="1">
        <v>291</v>
      </c>
    </row>
    <row r="36" spans="1:693 1268:1271" x14ac:dyDescent="0.3">
      <c r="A36" s="1" t="s">
        <v>2582</v>
      </c>
      <c r="B36" s="1" t="s">
        <v>2583</v>
      </c>
      <c r="C36" s="1" t="s">
        <v>2584</v>
      </c>
      <c r="D36" s="1" t="s">
        <v>2345</v>
      </c>
      <c r="E36" s="1">
        <v>356676102908909</v>
      </c>
      <c r="F36" s="1" t="s">
        <v>2345</v>
      </c>
      <c r="I36" s="1" t="s">
        <v>1659</v>
      </c>
      <c r="J36" s="1" t="s">
        <v>2346</v>
      </c>
      <c r="K36" s="1" t="s">
        <v>2346</v>
      </c>
      <c r="N36" s="1" t="s">
        <v>1153</v>
      </c>
      <c r="O36" s="1">
        <v>1</v>
      </c>
      <c r="P36" s="1">
        <v>0</v>
      </c>
      <c r="Q36" s="1">
        <v>0</v>
      </c>
      <c r="R36" s="1">
        <v>0</v>
      </c>
      <c r="S36" s="1">
        <v>0</v>
      </c>
      <c r="U36" s="1" t="s">
        <v>1190</v>
      </c>
      <c r="W36" s="1" t="s">
        <v>1155</v>
      </c>
      <c r="X36" s="1" t="s">
        <v>1156</v>
      </c>
      <c r="AN36" s="1" t="s">
        <v>1182</v>
      </c>
      <c r="AO36" s="1">
        <v>120</v>
      </c>
      <c r="AP36" s="1" t="s">
        <v>2559</v>
      </c>
      <c r="AR36" s="1" t="s">
        <v>1801</v>
      </c>
      <c r="AS36" s="1" t="s">
        <v>1833</v>
      </c>
      <c r="AT36" s="1" t="s">
        <v>1155</v>
      </c>
      <c r="BO36" s="1" t="s">
        <v>1158</v>
      </c>
      <c r="BP36" s="1">
        <v>0</v>
      </c>
      <c r="BQ36" s="1">
        <v>0</v>
      </c>
      <c r="BR36" s="1">
        <v>0</v>
      </c>
      <c r="BS36" s="1">
        <v>0</v>
      </c>
      <c r="BT36" s="1">
        <v>0</v>
      </c>
      <c r="BU36" s="1">
        <v>1</v>
      </c>
      <c r="BV36" s="1">
        <v>0</v>
      </c>
      <c r="BW36" s="1">
        <v>0</v>
      </c>
      <c r="BX36" s="1">
        <v>0</v>
      </c>
      <c r="BY36" s="1">
        <v>0</v>
      </c>
      <c r="BZ36" s="1">
        <v>0</v>
      </c>
      <c r="CA36" s="1">
        <v>0</v>
      </c>
      <c r="CC36" s="1" t="s">
        <v>1155</v>
      </c>
      <c r="DQ36" s="1" t="s">
        <v>1164</v>
      </c>
      <c r="DR36" s="2">
        <v>0</v>
      </c>
      <c r="DS36" s="2">
        <v>0</v>
      </c>
      <c r="DT36" s="2">
        <v>0</v>
      </c>
      <c r="DU36" s="2">
        <v>0</v>
      </c>
      <c r="DV36" s="2">
        <v>1</v>
      </c>
      <c r="DX36" s="1" t="s">
        <v>2567</v>
      </c>
      <c r="DY36" s="2">
        <v>1</v>
      </c>
      <c r="DZ36" s="2">
        <v>0</v>
      </c>
      <c r="EA36" s="2">
        <v>0</v>
      </c>
      <c r="EB36" s="2">
        <v>0</v>
      </c>
      <c r="EC36" s="2">
        <v>0</v>
      </c>
      <c r="ED36" s="2">
        <v>0</v>
      </c>
      <c r="EE36" s="2">
        <v>0</v>
      </c>
      <c r="EF36" s="2">
        <v>0</v>
      </c>
      <c r="EG36" s="2">
        <v>0</v>
      </c>
      <c r="EH36" s="2">
        <v>0</v>
      </c>
      <c r="EI36" s="2">
        <v>0</v>
      </c>
      <c r="EJ36" s="2">
        <v>0</v>
      </c>
      <c r="EK36" s="2">
        <v>1</v>
      </c>
      <c r="EM36" s="1" t="s">
        <v>1164</v>
      </c>
      <c r="EN36" s="2">
        <v>0</v>
      </c>
      <c r="EO36" s="2">
        <v>0</v>
      </c>
      <c r="EP36" s="2">
        <v>0</v>
      </c>
      <c r="EQ36" s="2">
        <v>0</v>
      </c>
      <c r="ER36" s="2">
        <v>0</v>
      </c>
      <c r="ES36" s="2">
        <v>0</v>
      </c>
      <c r="ET36" s="2">
        <v>0</v>
      </c>
      <c r="EU36" s="2">
        <v>0</v>
      </c>
      <c r="EV36" s="2">
        <v>0</v>
      </c>
      <c r="EW36" s="2">
        <v>1</v>
      </c>
      <c r="EX36" s="2">
        <v>0</v>
      </c>
      <c r="EY36" s="2">
        <v>0</v>
      </c>
      <c r="EZ36" s="2">
        <v>0</v>
      </c>
      <c r="FB36" s="1" t="s">
        <v>1155</v>
      </c>
      <c r="GI36" s="1" t="s">
        <v>2585</v>
      </c>
      <c r="GJ36" s="2">
        <v>0</v>
      </c>
      <c r="GK36" s="2">
        <v>0</v>
      </c>
      <c r="GL36" s="2">
        <v>0</v>
      </c>
      <c r="GM36" s="2">
        <v>0</v>
      </c>
      <c r="GN36" s="2">
        <v>0</v>
      </c>
      <c r="GO36" s="2">
        <v>1</v>
      </c>
      <c r="GP36" s="2">
        <v>1</v>
      </c>
      <c r="GQ36" s="2">
        <v>0</v>
      </c>
      <c r="GR36" s="2">
        <v>1</v>
      </c>
      <c r="GS36" s="2">
        <v>0</v>
      </c>
      <c r="GT36" s="2">
        <v>0</v>
      </c>
      <c r="GU36" s="2">
        <v>0</v>
      </c>
      <c r="GV36" s="2">
        <v>0</v>
      </c>
      <c r="AVT36" s="1">
        <v>136623270</v>
      </c>
      <c r="AVU36" s="1" t="s">
        <v>2586</v>
      </c>
      <c r="AVW36" s="1">
        <v>292</v>
      </c>
    </row>
    <row r="37" spans="1:693 1268:1271" x14ac:dyDescent="0.3">
      <c r="A37" s="1" t="s">
        <v>2587</v>
      </c>
      <c r="B37" s="1" t="s">
        <v>2588</v>
      </c>
      <c r="C37" s="1" t="s">
        <v>2589</v>
      </c>
      <c r="D37" s="1" t="s">
        <v>2345</v>
      </c>
      <c r="E37" s="1">
        <v>356676102903926</v>
      </c>
      <c r="F37" s="1" t="s">
        <v>2345</v>
      </c>
      <c r="I37" s="1" t="s">
        <v>1659</v>
      </c>
      <c r="J37" s="1" t="s">
        <v>2346</v>
      </c>
      <c r="K37" s="1" t="s">
        <v>2346</v>
      </c>
      <c r="N37" s="1" t="s">
        <v>1153</v>
      </c>
      <c r="O37" s="1">
        <v>1</v>
      </c>
      <c r="P37" s="1">
        <v>0</v>
      </c>
      <c r="Q37" s="1">
        <v>0</v>
      </c>
      <c r="R37" s="1">
        <v>0</v>
      </c>
      <c r="S37" s="1">
        <v>0</v>
      </c>
      <c r="U37" s="1" t="s">
        <v>2259</v>
      </c>
      <c r="W37" s="1" t="s">
        <v>1156</v>
      </c>
      <c r="X37" s="1" t="s">
        <v>1156</v>
      </c>
      <c r="AN37" s="1" t="s">
        <v>1182</v>
      </c>
      <c r="AO37" s="1">
        <v>100</v>
      </c>
      <c r="AP37" s="1" t="s">
        <v>2145</v>
      </c>
      <c r="AR37" s="1" t="s">
        <v>1801</v>
      </c>
      <c r="AS37" s="1" t="s">
        <v>1833</v>
      </c>
      <c r="AT37" s="1" t="s">
        <v>1156</v>
      </c>
      <c r="AU37" s="1" t="s">
        <v>1166</v>
      </c>
      <c r="BF37" s="1" t="s">
        <v>2590</v>
      </c>
      <c r="BG37" s="1">
        <v>0</v>
      </c>
      <c r="BH37" s="1">
        <v>0</v>
      </c>
      <c r="BI37" s="1">
        <v>1</v>
      </c>
      <c r="BJ37" s="1">
        <v>0</v>
      </c>
      <c r="BK37" s="1">
        <v>0</v>
      </c>
      <c r="BL37" s="1">
        <v>0</v>
      </c>
      <c r="BM37" s="1">
        <v>0</v>
      </c>
      <c r="BO37" s="1" t="s">
        <v>2591</v>
      </c>
      <c r="BP37" s="1">
        <v>0</v>
      </c>
      <c r="BQ37" s="1">
        <v>0</v>
      </c>
      <c r="BR37" s="1">
        <v>0</v>
      </c>
      <c r="BS37" s="1">
        <v>0</v>
      </c>
      <c r="BT37" s="1">
        <v>0</v>
      </c>
      <c r="BU37" s="1">
        <v>0</v>
      </c>
      <c r="BV37" s="1">
        <v>0</v>
      </c>
      <c r="BW37" s="1">
        <v>0</v>
      </c>
      <c r="BX37" s="1">
        <v>0</v>
      </c>
      <c r="BY37" s="1">
        <v>0</v>
      </c>
      <c r="BZ37" s="1">
        <v>1</v>
      </c>
      <c r="CA37" s="1">
        <v>1</v>
      </c>
      <c r="CC37" s="1" t="s">
        <v>1155</v>
      </c>
      <c r="DQ37" s="1" t="s">
        <v>1164</v>
      </c>
      <c r="DR37" s="2">
        <v>0</v>
      </c>
      <c r="DS37" s="2">
        <v>0</v>
      </c>
      <c r="DT37" s="2">
        <v>0</v>
      </c>
      <c r="DU37" s="2">
        <v>0</v>
      </c>
      <c r="DV37" s="2">
        <v>1</v>
      </c>
      <c r="DX37" s="1" t="s">
        <v>1393</v>
      </c>
      <c r="DY37" s="2">
        <v>1</v>
      </c>
      <c r="DZ37" s="2">
        <v>0</v>
      </c>
      <c r="EA37" s="2">
        <v>0</v>
      </c>
      <c r="EB37" s="2">
        <v>0</v>
      </c>
      <c r="EC37" s="2">
        <v>0</v>
      </c>
      <c r="ED37" s="2">
        <v>0</v>
      </c>
      <c r="EE37" s="2">
        <v>0</v>
      </c>
      <c r="EF37" s="2">
        <v>0</v>
      </c>
      <c r="EG37" s="2">
        <v>0</v>
      </c>
      <c r="EH37" s="2">
        <v>0</v>
      </c>
      <c r="EI37" s="2">
        <v>0</v>
      </c>
      <c r="EJ37" s="2">
        <v>0</v>
      </c>
      <c r="EK37" s="2">
        <v>0</v>
      </c>
      <c r="EM37" s="1" t="s">
        <v>1984</v>
      </c>
      <c r="EN37" s="2">
        <v>0</v>
      </c>
      <c r="EO37" s="2">
        <v>0</v>
      </c>
      <c r="EP37" s="2">
        <v>0</v>
      </c>
      <c r="EQ37" s="2">
        <v>0</v>
      </c>
      <c r="ER37" s="2">
        <v>0</v>
      </c>
      <c r="ES37" s="2">
        <v>0</v>
      </c>
      <c r="ET37" s="2">
        <v>1</v>
      </c>
      <c r="EU37" s="2">
        <v>0</v>
      </c>
      <c r="EV37" s="2">
        <v>0</v>
      </c>
      <c r="EW37" s="2">
        <v>0</v>
      </c>
      <c r="EX37" s="2">
        <v>0</v>
      </c>
      <c r="EY37" s="2">
        <v>0</v>
      </c>
      <c r="EZ37" s="2">
        <v>0</v>
      </c>
      <c r="FB37" s="1" t="s">
        <v>1156</v>
      </c>
      <c r="FC37" s="1" t="s">
        <v>1158</v>
      </c>
      <c r="FD37" s="2">
        <v>0</v>
      </c>
      <c r="FE37" s="2">
        <v>0</v>
      </c>
      <c r="FF37" s="2">
        <v>0</v>
      </c>
      <c r="FG37" s="2">
        <v>0</v>
      </c>
      <c r="FH37" s="2">
        <v>1</v>
      </c>
      <c r="FI37" s="2">
        <v>0</v>
      </c>
      <c r="FJ37" s="2">
        <v>0</v>
      </c>
      <c r="FL37" s="1" t="s">
        <v>2592</v>
      </c>
      <c r="FM37" s="2">
        <v>0</v>
      </c>
      <c r="FN37" s="2">
        <v>0</v>
      </c>
      <c r="FO37" s="2">
        <v>1</v>
      </c>
      <c r="FP37" s="2">
        <v>0</v>
      </c>
      <c r="FQ37" s="2">
        <v>0</v>
      </c>
      <c r="FR37" s="2">
        <v>0</v>
      </c>
      <c r="FS37" s="2">
        <v>0</v>
      </c>
      <c r="FT37" s="2">
        <v>0</v>
      </c>
      <c r="FU37" s="2">
        <v>0</v>
      </c>
      <c r="FV37" s="2">
        <v>1</v>
      </c>
      <c r="FW37" s="2">
        <v>0</v>
      </c>
      <c r="FX37" s="2">
        <v>0</v>
      </c>
      <c r="FY37" s="2">
        <v>0</v>
      </c>
      <c r="GA37" s="1" t="s">
        <v>1155</v>
      </c>
      <c r="GB37" s="1" t="s">
        <v>1180</v>
      </c>
      <c r="GC37" s="2">
        <v>1</v>
      </c>
      <c r="GD37" s="2">
        <v>0</v>
      </c>
      <c r="GE37" s="2">
        <v>0</v>
      </c>
      <c r="GF37" s="2">
        <v>0</v>
      </c>
      <c r="GG37" s="2">
        <v>0</v>
      </c>
      <c r="GI37" s="1" t="s">
        <v>2370</v>
      </c>
      <c r="GJ37" s="2">
        <v>0</v>
      </c>
      <c r="GK37" s="2">
        <v>0</v>
      </c>
      <c r="GL37" s="2">
        <v>0</v>
      </c>
      <c r="GM37" s="2">
        <v>0</v>
      </c>
      <c r="GN37" s="2">
        <v>0</v>
      </c>
      <c r="GO37" s="2">
        <v>0</v>
      </c>
      <c r="GP37" s="2">
        <v>1</v>
      </c>
      <c r="GQ37" s="2">
        <v>0</v>
      </c>
      <c r="GR37" s="2">
        <v>0</v>
      </c>
      <c r="GS37" s="2">
        <v>0</v>
      </c>
      <c r="GT37" s="2">
        <v>0</v>
      </c>
      <c r="GU37" s="2">
        <v>0</v>
      </c>
      <c r="GV37" s="2">
        <v>0</v>
      </c>
      <c r="AVT37" s="1">
        <v>136623303</v>
      </c>
      <c r="AVU37" s="1" t="s">
        <v>2593</v>
      </c>
      <c r="AVW37" s="1">
        <v>293</v>
      </c>
    </row>
    <row r="38" spans="1:693 1268:1271" x14ac:dyDescent="0.3">
      <c r="A38" s="1" t="s">
        <v>2594</v>
      </c>
      <c r="B38" s="1" t="s">
        <v>2595</v>
      </c>
      <c r="C38" s="1" t="s">
        <v>2596</v>
      </c>
      <c r="D38" s="1" t="s">
        <v>2345</v>
      </c>
      <c r="E38" s="1">
        <v>356676102908909</v>
      </c>
      <c r="F38" s="1" t="s">
        <v>2345</v>
      </c>
      <c r="I38" s="1" t="s">
        <v>1659</v>
      </c>
      <c r="J38" s="1" t="s">
        <v>2346</v>
      </c>
      <c r="K38" s="1" t="s">
        <v>2346</v>
      </c>
      <c r="N38" s="1" t="s">
        <v>1153</v>
      </c>
      <c r="O38" s="1">
        <v>1</v>
      </c>
      <c r="P38" s="1">
        <v>0</v>
      </c>
      <c r="Q38" s="1">
        <v>0</v>
      </c>
      <c r="R38" s="1">
        <v>0</v>
      </c>
      <c r="S38" s="1">
        <v>0</v>
      </c>
      <c r="U38" s="1" t="s">
        <v>2259</v>
      </c>
      <c r="W38" s="1" t="s">
        <v>1155</v>
      </c>
      <c r="X38" s="1" t="s">
        <v>1708</v>
      </c>
      <c r="Y38" s="1" t="s">
        <v>1184</v>
      </c>
      <c r="AA38" s="1" t="s">
        <v>2348</v>
      </c>
      <c r="AN38" s="1" t="s">
        <v>1192</v>
      </c>
      <c r="AO38" s="1">
        <v>135</v>
      </c>
      <c r="AP38" s="1" t="s">
        <v>2559</v>
      </c>
      <c r="AR38" s="1" t="s">
        <v>1801</v>
      </c>
      <c r="AS38" s="1" t="s">
        <v>1833</v>
      </c>
      <c r="AT38" s="1" t="s">
        <v>1155</v>
      </c>
      <c r="BO38" s="1" t="s">
        <v>1158</v>
      </c>
      <c r="BP38" s="1">
        <v>0</v>
      </c>
      <c r="BQ38" s="1">
        <v>0</v>
      </c>
      <c r="BR38" s="1">
        <v>0</v>
      </c>
      <c r="BS38" s="1">
        <v>0</v>
      </c>
      <c r="BT38" s="1">
        <v>0</v>
      </c>
      <c r="BU38" s="1">
        <v>1</v>
      </c>
      <c r="BV38" s="1">
        <v>0</v>
      </c>
      <c r="BW38" s="1">
        <v>0</v>
      </c>
      <c r="BX38" s="1">
        <v>0</v>
      </c>
      <c r="BY38" s="1">
        <v>0</v>
      </c>
      <c r="BZ38" s="1">
        <v>0</v>
      </c>
      <c r="CA38" s="1">
        <v>0</v>
      </c>
      <c r="CC38" s="1" t="s">
        <v>1155</v>
      </c>
      <c r="DQ38" s="1" t="s">
        <v>1164</v>
      </c>
      <c r="DR38" s="2">
        <v>0</v>
      </c>
      <c r="DS38" s="2">
        <v>0</v>
      </c>
      <c r="DT38" s="2">
        <v>0</v>
      </c>
      <c r="DU38" s="2">
        <v>0</v>
      </c>
      <c r="DV38" s="2">
        <v>1</v>
      </c>
      <c r="DX38" s="1" t="s">
        <v>2597</v>
      </c>
      <c r="DY38" s="2">
        <v>1</v>
      </c>
      <c r="DZ38" s="2">
        <v>0</v>
      </c>
      <c r="EA38" s="2">
        <v>1</v>
      </c>
      <c r="EB38" s="2">
        <v>0</v>
      </c>
      <c r="EC38" s="2">
        <v>0</v>
      </c>
      <c r="ED38" s="2">
        <v>0</v>
      </c>
      <c r="EE38" s="2">
        <v>0</v>
      </c>
      <c r="EF38" s="2">
        <v>1</v>
      </c>
      <c r="EG38" s="2">
        <v>1</v>
      </c>
      <c r="EH38" s="2">
        <v>0</v>
      </c>
      <c r="EI38" s="2">
        <v>0</v>
      </c>
      <c r="EJ38" s="2">
        <v>0</v>
      </c>
      <c r="EK38" s="2">
        <v>0</v>
      </c>
      <c r="EM38" s="1" t="s">
        <v>1164</v>
      </c>
      <c r="EN38" s="2">
        <v>0</v>
      </c>
      <c r="EO38" s="2">
        <v>0</v>
      </c>
      <c r="EP38" s="2">
        <v>0</v>
      </c>
      <c r="EQ38" s="2">
        <v>0</v>
      </c>
      <c r="ER38" s="2">
        <v>0</v>
      </c>
      <c r="ES38" s="2">
        <v>0</v>
      </c>
      <c r="ET38" s="2">
        <v>0</v>
      </c>
      <c r="EU38" s="2">
        <v>0</v>
      </c>
      <c r="EV38" s="2">
        <v>0</v>
      </c>
      <c r="EW38" s="2">
        <v>1</v>
      </c>
      <c r="EX38" s="2">
        <v>0</v>
      </c>
      <c r="EY38" s="2">
        <v>0</v>
      </c>
      <c r="EZ38" s="2">
        <v>0</v>
      </c>
      <c r="FB38" s="1" t="s">
        <v>1155</v>
      </c>
      <c r="GI38" s="1" t="s">
        <v>2598</v>
      </c>
      <c r="GJ38" s="2">
        <v>0</v>
      </c>
      <c r="GK38" s="2">
        <v>0</v>
      </c>
      <c r="GL38" s="2">
        <v>0</v>
      </c>
      <c r="GM38" s="2">
        <v>0</v>
      </c>
      <c r="GN38" s="2">
        <v>0</v>
      </c>
      <c r="GO38" s="2">
        <v>1</v>
      </c>
      <c r="GP38" s="2">
        <v>1</v>
      </c>
      <c r="GQ38" s="2">
        <v>1</v>
      </c>
      <c r="GR38" s="2">
        <v>1</v>
      </c>
      <c r="GS38" s="2">
        <v>0</v>
      </c>
      <c r="GT38" s="2">
        <v>1</v>
      </c>
      <c r="GU38" s="2">
        <v>0</v>
      </c>
      <c r="GV38" s="2">
        <v>0</v>
      </c>
      <c r="AVT38" s="1">
        <v>136623327</v>
      </c>
      <c r="AVU38" s="1" t="s">
        <v>2599</v>
      </c>
      <c r="AVW38" s="1">
        <v>294</v>
      </c>
    </row>
    <row r="39" spans="1:693 1268:1271" x14ac:dyDescent="0.3">
      <c r="A39" s="1" t="s">
        <v>2600</v>
      </c>
      <c r="B39" s="1" t="s">
        <v>2601</v>
      </c>
      <c r="C39" s="1" t="s">
        <v>2602</v>
      </c>
      <c r="D39" s="1" t="s">
        <v>2345</v>
      </c>
      <c r="E39" s="1">
        <v>356676102903926</v>
      </c>
      <c r="F39" s="1" t="s">
        <v>2345</v>
      </c>
      <c r="I39" s="1" t="s">
        <v>1659</v>
      </c>
      <c r="J39" s="1" t="s">
        <v>2346</v>
      </c>
      <c r="K39" s="1" t="s">
        <v>2346</v>
      </c>
      <c r="N39" s="1" t="s">
        <v>1153</v>
      </c>
      <c r="O39" s="1">
        <v>1</v>
      </c>
      <c r="P39" s="1">
        <v>0</v>
      </c>
      <c r="Q39" s="1">
        <v>0</v>
      </c>
      <c r="R39" s="1">
        <v>0</v>
      </c>
      <c r="S39" s="1">
        <v>0</v>
      </c>
      <c r="U39" s="1" t="s">
        <v>2259</v>
      </c>
      <c r="W39" s="1" t="s">
        <v>1155</v>
      </c>
      <c r="X39" s="1" t="s">
        <v>1156</v>
      </c>
      <c r="AN39" s="1" t="s">
        <v>1182</v>
      </c>
      <c r="AO39" s="1">
        <v>50</v>
      </c>
      <c r="AP39" s="1" t="s">
        <v>1196</v>
      </c>
      <c r="AR39" s="1" t="s">
        <v>1801</v>
      </c>
      <c r="AS39" s="1" t="s">
        <v>1164</v>
      </c>
      <c r="AT39" s="1" t="s">
        <v>1156</v>
      </c>
      <c r="AU39" s="1" t="s">
        <v>1157</v>
      </c>
      <c r="AV39" s="1" t="s">
        <v>1193</v>
      </c>
      <c r="AW39" s="1">
        <v>0</v>
      </c>
      <c r="AX39" s="1">
        <v>1</v>
      </c>
      <c r="AY39" s="1">
        <v>0</v>
      </c>
      <c r="AZ39" s="1">
        <v>0</v>
      </c>
      <c r="BA39" s="1">
        <v>0</v>
      </c>
      <c r="BB39" s="1">
        <v>0</v>
      </c>
      <c r="BC39" s="1">
        <v>0</v>
      </c>
      <c r="BD39" s="1">
        <v>0</v>
      </c>
      <c r="BO39" s="1" t="s">
        <v>1802</v>
      </c>
      <c r="BP39" s="1">
        <v>0</v>
      </c>
      <c r="BQ39" s="1">
        <v>0</v>
      </c>
      <c r="BR39" s="1">
        <v>0</v>
      </c>
      <c r="BS39" s="1">
        <v>0</v>
      </c>
      <c r="BT39" s="1">
        <v>0</v>
      </c>
      <c r="BU39" s="1">
        <v>0</v>
      </c>
      <c r="BV39" s="1">
        <v>0</v>
      </c>
      <c r="BW39" s="1">
        <v>0</v>
      </c>
      <c r="BX39" s="1">
        <v>0</v>
      </c>
      <c r="BY39" s="1">
        <v>0</v>
      </c>
      <c r="BZ39" s="1">
        <v>1</v>
      </c>
      <c r="CA39" s="1">
        <v>0</v>
      </c>
      <c r="CC39" s="1" t="s">
        <v>1155</v>
      </c>
      <c r="DQ39" s="1" t="s">
        <v>1397</v>
      </c>
      <c r="DR39" s="2">
        <v>1</v>
      </c>
      <c r="DS39" s="2">
        <v>0</v>
      </c>
      <c r="DT39" s="2">
        <v>0</v>
      </c>
      <c r="DU39" s="2">
        <v>0</v>
      </c>
      <c r="DV39" s="2">
        <v>0</v>
      </c>
      <c r="DX39" s="1" t="s">
        <v>1843</v>
      </c>
      <c r="DY39" s="2">
        <v>0</v>
      </c>
      <c r="DZ39" s="2">
        <v>0</v>
      </c>
      <c r="EA39" s="2">
        <v>0</v>
      </c>
      <c r="EB39" s="2">
        <v>0</v>
      </c>
      <c r="EC39" s="2">
        <v>0</v>
      </c>
      <c r="ED39" s="2">
        <v>0</v>
      </c>
      <c r="EE39" s="2">
        <v>0</v>
      </c>
      <c r="EF39" s="2">
        <v>0</v>
      </c>
      <c r="EG39" s="2">
        <v>0</v>
      </c>
      <c r="EH39" s="2">
        <v>0</v>
      </c>
      <c r="EI39" s="2">
        <v>0</v>
      </c>
      <c r="EJ39" s="2">
        <v>0</v>
      </c>
      <c r="EK39" s="2">
        <v>1</v>
      </c>
      <c r="EM39" s="1" t="s">
        <v>1164</v>
      </c>
      <c r="EN39" s="2">
        <v>0</v>
      </c>
      <c r="EO39" s="2">
        <v>0</v>
      </c>
      <c r="EP39" s="2">
        <v>0</v>
      </c>
      <c r="EQ39" s="2">
        <v>0</v>
      </c>
      <c r="ER39" s="2">
        <v>0</v>
      </c>
      <c r="ES39" s="2">
        <v>0</v>
      </c>
      <c r="ET39" s="2">
        <v>0</v>
      </c>
      <c r="EU39" s="2">
        <v>0</v>
      </c>
      <c r="EV39" s="2">
        <v>0</v>
      </c>
      <c r="EW39" s="2">
        <v>1</v>
      </c>
      <c r="EX39" s="2">
        <v>0</v>
      </c>
      <c r="EY39" s="2">
        <v>0</v>
      </c>
      <c r="EZ39" s="2">
        <v>0</v>
      </c>
      <c r="FB39" s="1" t="s">
        <v>1155</v>
      </c>
      <c r="GI39" s="1" t="s">
        <v>2427</v>
      </c>
      <c r="GJ39" s="2">
        <v>0</v>
      </c>
      <c r="GK39" s="2">
        <v>0</v>
      </c>
      <c r="GL39" s="2">
        <v>1</v>
      </c>
      <c r="GM39" s="2">
        <v>0</v>
      </c>
      <c r="GN39" s="2">
        <v>0</v>
      </c>
      <c r="GO39" s="2">
        <v>0</v>
      </c>
      <c r="GP39" s="2">
        <v>0</v>
      </c>
      <c r="GQ39" s="2">
        <v>0</v>
      </c>
      <c r="GR39" s="2">
        <v>0</v>
      </c>
      <c r="GS39" s="2">
        <v>0</v>
      </c>
      <c r="GT39" s="2">
        <v>0</v>
      </c>
      <c r="GU39" s="2">
        <v>0</v>
      </c>
      <c r="GV39" s="2">
        <v>0</v>
      </c>
      <c r="AVT39" s="1">
        <v>136623355</v>
      </c>
      <c r="AVU39" s="1" t="s">
        <v>2603</v>
      </c>
      <c r="AVW39" s="1">
        <v>295</v>
      </c>
    </row>
    <row r="40" spans="1:693 1268:1271" x14ac:dyDescent="0.3">
      <c r="A40" s="1" t="s">
        <v>2604</v>
      </c>
      <c r="B40" s="1" t="s">
        <v>2605</v>
      </c>
      <c r="C40" s="1" t="s">
        <v>2606</v>
      </c>
      <c r="D40" s="1" t="s">
        <v>2345</v>
      </c>
      <c r="E40" s="1">
        <v>356676101957824</v>
      </c>
      <c r="F40" s="1" t="s">
        <v>2345</v>
      </c>
      <c r="I40" s="1" t="s">
        <v>1659</v>
      </c>
      <c r="J40" s="1" t="s">
        <v>2346</v>
      </c>
      <c r="K40" s="1" t="s">
        <v>2346</v>
      </c>
      <c r="N40" s="1" t="s">
        <v>1153</v>
      </c>
      <c r="O40" s="1">
        <v>1</v>
      </c>
      <c r="P40" s="1">
        <v>0</v>
      </c>
      <c r="Q40" s="1">
        <v>0</v>
      </c>
      <c r="R40" s="1">
        <v>0</v>
      </c>
      <c r="S40" s="1">
        <v>0</v>
      </c>
      <c r="U40" s="1" t="s">
        <v>2607</v>
      </c>
      <c r="W40" s="1" t="s">
        <v>1156</v>
      </c>
      <c r="X40" s="1" t="s">
        <v>1156</v>
      </c>
      <c r="AN40" s="1" t="s">
        <v>1182</v>
      </c>
      <c r="AO40" s="1">
        <v>180</v>
      </c>
      <c r="AP40" s="1" t="s">
        <v>1398</v>
      </c>
      <c r="AR40" s="1" t="s">
        <v>1801</v>
      </c>
      <c r="AS40" s="1" t="s">
        <v>1833</v>
      </c>
      <c r="AT40" s="1" t="s">
        <v>1156</v>
      </c>
      <c r="AU40" s="1" t="s">
        <v>1157</v>
      </c>
      <c r="AV40" s="1" t="s">
        <v>2361</v>
      </c>
      <c r="AW40" s="1">
        <v>1</v>
      </c>
      <c r="AX40" s="1">
        <v>0</v>
      </c>
      <c r="AY40" s="1">
        <v>1</v>
      </c>
      <c r="AZ40" s="1">
        <v>0</v>
      </c>
      <c r="BA40" s="1">
        <v>0</v>
      </c>
      <c r="BB40" s="1">
        <v>0</v>
      </c>
      <c r="BC40" s="1">
        <v>0</v>
      </c>
      <c r="BD40" s="1">
        <v>0</v>
      </c>
      <c r="BO40" s="1" t="s">
        <v>1158</v>
      </c>
      <c r="BP40" s="1">
        <v>0</v>
      </c>
      <c r="BQ40" s="1">
        <v>0</v>
      </c>
      <c r="BR40" s="1">
        <v>0</v>
      </c>
      <c r="BS40" s="1">
        <v>0</v>
      </c>
      <c r="BT40" s="1">
        <v>0</v>
      </c>
      <c r="BU40" s="1">
        <v>1</v>
      </c>
      <c r="BV40" s="1">
        <v>0</v>
      </c>
      <c r="BW40" s="1">
        <v>0</v>
      </c>
      <c r="BX40" s="1">
        <v>0</v>
      </c>
      <c r="BY40" s="1">
        <v>0</v>
      </c>
      <c r="BZ40" s="1">
        <v>0</v>
      </c>
      <c r="CA40" s="1">
        <v>0</v>
      </c>
      <c r="CC40" s="1" t="s">
        <v>1155</v>
      </c>
      <c r="DQ40" s="1" t="s">
        <v>2197</v>
      </c>
      <c r="DR40" s="2">
        <v>1</v>
      </c>
      <c r="DS40" s="2">
        <v>1</v>
      </c>
      <c r="DT40" s="2">
        <v>0</v>
      </c>
      <c r="DU40" s="2">
        <v>0</v>
      </c>
      <c r="DV40" s="2">
        <v>0</v>
      </c>
      <c r="DX40" s="1" t="s">
        <v>1164</v>
      </c>
      <c r="DY40" s="2">
        <v>0</v>
      </c>
      <c r="DZ40" s="2">
        <v>0</v>
      </c>
      <c r="EA40" s="2">
        <v>0</v>
      </c>
      <c r="EB40" s="2">
        <v>0</v>
      </c>
      <c r="EC40" s="2">
        <v>0</v>
      </c>
      <c r="ED40" s="2">
        <v>0</v>
      </c>
      <c r="EE40" s="2">
        <v>0</v>
      </c>
      <c r="EF40" s="2">
        <v>0</v>
      </c>
      <c r="EG40" s="2">
        <v>0</v>
      </c>
      <c r="EH40" s="2">
        <v>1</v>
      </c>
      <c r="EI40" s="2">
        <v>0</v>
      </c>
      <c r="EJ40" s="2">
        <v>0</v>
      </c>
      <c r="EK40" s="2">
        <v>0</v>
      </c>
      <c r="EM40" s="1" t="s">
        <v>1194</v>
      </c>
      <c r="EN40" s="2">
        <v>0</v>
      </c>
      <c r="EO40" s="2">
        <v>0</v>
      </c>
      <c r="EP40" s="2">
        <v>0</v>
      </c>
      <c r="EQ40" s="2">
        <v>0</v>
      </c>
      <c r="ER40" s="2">
        <v>1</v>
      </c>
      <c r="ES40" s="2">
        <v>0</v>
      </c>
      <c r="ET40" s="2">
        <v>0</v>
      </c>
      <c r="EU40" s="2">
        <v>0</v>
      </c>
      <c r="EV40" s="2">
        <v>0</v>
      </c>
      <c r="EW40" s="2">
        <v>0</v>
      </c>
      <c r="EX40" s="2">
        <v>0</v>
      </c>
      <c r="EY40" s="2">
        <v>0</v>
      </c>
      <c r="EZ40" s="2">
        <v>0</v>
      </c>
      <c r="FB40" s="1" t="s">
        <v>1156</v>
      </c>
      <c r="FC40" s="1" t="s">
        <v>1158</v>
      </c>
      <c r="FD40" s="2">
        <v>0</v>
      </c>
      <c r="FE40" s="2">
        <v>0</v>
      </c>
      <c r="FF40" s="2">
        <v>0</v>
      </c>
      <c r="FG40" s="2">
        <v>0</v>
      </c>
      <c r="FH40" s="2">
        <v>1</v>
      </c>
      <c r="FI40" s="2">
        <v>0</v>
      </c>
      <c r="FJ40" s="2">
        <v>0</v>
      </c>
      <c r="FL40" s="1" t="s">
        <v>2608</v>
      </c>
      <c r="FM40" s="2">
        <v>1</v>
      </c>
      <c r="FN40" s="2">
        <v>1</v>
      </c>
      <c r="FO40" s="2">
        <v>1</v>
      </c>
      <c r="FP40" s="2">
        <v>1</v>
      </c>
      <c r="FQ40" s="2">
        <v>0</v>
      </c>
      <c r="FR40" s="2">
        <v>0</v>
      </c>
      <c r="FS40" s="2">
        <v>1</v>
      </c>
      <c r="FT40" s="2">
        <v>0</v>
      </c>
      <c r="FU40" s="2">
        <v>0</v>
      </c>
      <c r="FV40" s="2">
        <v>0</v>
      </c>
      <c r="FW40" s="2">
        <v>0</v>
      </c>
      <c r="FX40" s="2">
        <v>0</v>
      </c>
      <c r="FY40" s="2">
        <v>0</v>
      </c>
      <c r="GA40" s="1" t="s">
        <v>1156</v>
      </c>
      <c r="GI40" s="1" t="s">
        <v>2609</v>
      </c>
      <c r="GJ40" s="2">
        <v>0</v>
      </c>
      <c r="GK40" s="2">
        <v>0</v>
      </c>
      <c r="GL40" s="2">
        <v>0</v>
      </c>
      <c r="GM40" s="2">
        <v>1</v>
      </c>
      <c r="GN40" s="2">
        <v>1</v>
      </c>
      <c r="GO40" s="2">
        <v>0</v>
      </c>
      <c r="GP40" s="2">
        <v>1</v>
      </c>
      <c r="GQ40" s="2">
        <v>0</v>
      </c>
      <c r="GR40" s="2">
        <v>0</v>
      </c>
      <c r="GS40" s="2">
        <v>0</v>
      </c>
      <c r="GT40" s="2">
        <v>0</v>
      </c>
      <c r="GU40" s="2">
        <v>0</v>
      </c>
      <c r="GV40" s="2">
        <v>0</v>
      </c>
      <c r="AVT40" s="1">
        <v>136623378</v>
      </c>
      <c r="AVU40" s="1" t="s">
        <v>2610</v>
      </c>
      <c r="AVW40" s="1">
        <v>296</v>
      </c>
    </row>
    <row r="41" spans="1:693 1268:1271" x14ac:dyDescent="0.3">
      <c r="A41" s="1" t="s">
        <v>2611</v>
      </c>
      <c r="B41" s="1" t="s">
        <v>2612</v>
      </c>
      <c r="C41" s="1" t="s">
        <v>2613</v>
      </c>
      <c r="D41" s="1" t="s">
        <v>2345</v>
      </c>
      <c r="E41" s="1">
        <v>356676102908909</v>
      </c>
      <c r="F41" s="1" t="s">
        <v>2345</v>
      </c>
      <c r="I41" s="1" t="s">
        <v>1659</v>
      </c>
      <c r="J41" s="1" t="s">
        <v>2346</v>
      </c>
      <c r="K41" s="1" t="s">
        <v>2346</v>
      </c>
      <c r="N41" s="1" t="s">
        <v>1153</v>
      </c>
      <c r="O41" s="1">
        <v>1</v>
      </c>
      <c r="P41" s="1">
        <v>0</v>
      </c>
      <c r="Q41" s="1">
        <v>0</v>
      </c>
      <c r="R41" s="1">
        <v>0</v>
      </c>
      <c r="S41" s="1">
        <v>0</v>
      </c>
      <c r="U41" s="1" t="s">
        <v>1840</v>
      </c>
      <c r="W41" s="1" t="s">
        <v>1156</v>
      </c>
      <c r="X41" s="1" t="s">
        <v>1708</v>
      </c>
      <c r="Y41" s="1" t="s">
        <v>1184</v>
      </c>
      <c r="AA41" s="1" t="s">
        <v>2292</v>
      </c>
      <c r="AN41" s="1" t="s">
        <v>1195</v>
      </c>
      <c r="AP41" s="1" t="s">
        <v>2559</v>
      </c>
      <c r="AR41" s="1" t="s">
        <v>1801</v>
      </c>
      <c r="AS41" s="1" t="s">
        <v>1841</v>
      </c>
      <c r="AT41" s="1" t="s">
        <v>1156</v>
      </c>
      <c r="AU41" s="1" t="s">
        <v>1157</v>
      </c>
      <c r="AV41" s="1" t="s">
        <v>2169</v>
      </c>
      <c r="AW41" s="1">
        <v>0</v>
      </c>
      <c r="AX41" s="1">
        <v>0</v>
      </c>
      <c r="AY41" s="1">
        <v>1</v>
      </c>
      <c r="AZ41" s="1">
        <v>0</v>
      </c>
      <c r="BA41" s="1">
        <v>0</v>
      </c>
      <c r="BB41" s="1">
        <v>1</v>
      </c>
      <c r="BC41" s="1">
        <v>0</v>
      </c>
      <c r="BD41" s="1">
        <v>0</v>
      </c>
      <c r="BO41" s="1" t="s">
        <v>1158</v>
      </c>
      <c r="BP41" s="1">
        <v>0</v>
      </c>
      <c r="BQ41" s="1">
        <v>0</v>
      </c>
      <c r="BR41" s="1">
        <v>0</v>
      </c>
      <c r="BS41" s="1">
        <v>0</v>
      </c>
      <c r="BT41" s="1">
        <v>0</v>
      </c>
      <c r="BU41" s="1">
        <v>1</v>
      </c>
      <c r="BV41" s="1">
        <v>0</v>
      </c>
      <c r="BW41" s="1">
        <v>0</v>
      </c>
      <c r="BX41" s="1">
        <v>0</v>
      </c>
      <c r="BY41" s="1">
        <v>0</v>
      </c>
      <c r="BZ41" s="1">
        <v>0</v>
      </c>
      <c r="CA41" s="1">
        <v>0</v>
      </c>
      <c r="CC41" s="1" t="s">
        <v>1155</v>
      </c>
      <c r="DQ41" s="1" t="s">
        <v>1164</v>
      </c>
      <c r="DR41" s="2">
        <v>0</v>
      </c>
      <c r="DS41" s="2">
        <v>0</v>
      </c>
      <c r="DT41" s="2">
        <v>0</v>
      </c>
      <c r="DU41" s="2">
        <v>0</v>
      </c>
      <c r="DV41" s="2">
        <v>1</v>
      </c>
      <c r="DX41" s="1" t="s">
        <v>2614</v>
      </c>
      <c r="DY41" s="2">
        <v>0</v>
      </c>
      <c r="DZ41" s="2">
        <v>1</v>
      </c>
      <c r="EA41" s="2">
        <v>0</v>
      </c>
      <c r="EB41" s="2">
        <v>0</v>
      </c>
      <c r="EC41" s="2">
        <v>0</v>
      </c>
      <c r="ED41" s="2">
        <v>0</v>
      </c>
      <c r="EE41" s="2">
        <v>0</v>
      </c>
      <c r="EF41" s="2">
        <v>0</v>
      </c>
      <c r="EG41" s="2">
        <v>1</v>
      </c>
      <c r="EH41" s="2">
        <v>0</v>
      </c>
      <c r="EI41" s="2">
        <v>0</v>
      </c>
      <c r="EJ41" s="2">
        <v>0</v>
      </c>
      <c r="EK41" s="2">
        <v>1</v>
      </c>
      <c r="EM41" s="1" t="s">
        <v>1194</v>
      </c>
      <c r="EN41" s="2">
        <v>0</v>
      </c>
      <c r="EO41" s="2">
        <v>0</v>
      </c>
      <c r="EP41" s="2">
        <v>0</v>
      </c>
      <c r="EQ41" s="2">
        <v>0</v>
      </c>
      <c r="ER41" s="2">
        <v>1</v>
      </c>
      <c r="ES41" s="2">
        <v>0</v>
      </c>
      <c r="ET41" s="2">
        <v>0</v>
      </c>
      <c r="EU41" s="2">
        <v>0</v>
      </c>
      <c r="EV41" s="2">
        <v>0</v>
      </c>
      <c r="EW41" s="2">
        <v>0</v>
      </c>
      <c r="EX41" s="2">
        <v>0</v>
      </c>
      <c r="EY41" s="2">
        <v>0</v>
      </c>
      <c r="EZ41" s="2">
        <v>0</v>
      </c>
      <c r="FB41" s="1" t="s">
        <v>1155</v>
      </c>
      <c r="GI41" s="1" t="s">
        <v>2615</v>
      </c>
      <c r="GJ41" s="2">
        <v>1</v>
      </c>
      <c r="GK41" s="2">
        <v>1</v>
      </c>
      <c r="GL41" s="2">
        <v>1</v>
      </c>
      <c r="GM41" s="2">
        <v>1</v>
      </c>
      <c r="GN41" s="2">
        <v>1</v>
      </c>
      <c r="GO41" s="2">
        <v>1</v>
      </c>
      <c r="GP41" s="2">
        <v>1</v>
      </c>
      <c r="GQ41" s="2">
        <v>1</v>
      </c>
      <c r="GR41" s="2">
        <v>1</v>
      </c>
      <c r="GS41" s="2">
        <v>0</v>
      </c>
      <c r="GT41" s="2">
        <v>0</v>
      </c>
      <c r="GU41" s="2">
        <v>0</v>
      </c>
      <c r="GV41" s="2">
        <v>1</v>
      </c>
      <c r="GW41" s="1" t="s">
        <v>2616</v>
      </c>
      <c r="AVT41" s="1">
        <v>136623381</v>
      </c>
      <c r="AVU41" s="1" t="s">
        <v>2617</v>
      </c>
      <c r="AVW41" s="1">
        <v>297</v>
      </c>
    </row>
    <row r="42" spans="1:693 1268:1271" x14ac:dyDescent="0.3">
      <c r="A42" s="1" t="s">
        <v>2618</v>
      </c>
      <c r="B42" s="1" t="s">
        <v>2619</v>
      </c>
      <c r="C42" s="1" t="s">
        <v>2620</v>
      </c>
      <c r="D42" s="1" t="s">
        <v>2345</v>
      </c>
      <c r="E42" s="1">
        <v>356676102903926</v>
      </c>
      <c r="F42" s="1" t="s">
        <v>2345</v>
      </c>
      <c r="I42" s="1" t="s">
        <v>1659</v>
      </c>
      <c r="J42" s="1" t="s">
        <v>2346</v>
      </c>
      <c r="K42" s="1" t="s">
        <v>2346</v>
      </c>
      <c r="N42" s="1" t="s">
        <v>1153</v>
      </c>
      <c r="O42" s="1">
        <v>1</v>
      </c>
      <c r="P42" s="1">
        <v>0</v>
      </c>
      <c r="Q42" s="1">
        <v>0</v>
      </c>
      <c r="R42" s="1">
        <v>0</v>
      </c>
      <c r="S42" s="1">
        <v>0</v>
      </c>
      <c r="U42" s="1" t="s">
        <v>1840</v>
      </c>
      <c r="W42" s="1" t="s">
        <v>1155</v>
      </c>
      <c r="X42" s="1" t="s">
        <v>1156</v>
      </c>
      <c r="AN42" s="1" t="s">
        <v>1182</v>
      </c>
      <c r="AO42" s="1">
        <v>150</v>
      </c>
      <c r="AP42" s="1" t="s">
        <v>2145</v>
      </c>
      <c r="AR42" s="1" t="s">
        <v>1801</v>
      </c>
      <c r="AS42" s="1" t="s">
        <v>1833</v>
      </c>
      <c r="AT42" s="1" t="s">
        <v>1156</v>
      </c>
      <c r="AU42" s="1" t="s">
        <v>1186</v>
      </c>
      <c r="AV42" s="1" t="s">
        <v>2484</v>
      </c>
      <c r="AW42" s="1">
        <v>0</v>
      </c>
      <c r="AX42" s="1">
        <v>0</v>
      </c>
      <c r="AY42" s="1">
        <v>1</v>
      </c>
      <c r="AZ42" s="1">
        <v>0</v>
      </c>
      <c r="BA42" s="1">
        <v>0</v>
      </c>
      <c r="BB42" s="1">
        <v>0</v>
      </c>
      <c r="BC42" s="1">
        <v>0</v>
      </c>
      <c r="BD42" s="1">
        <v>0</v>
      </c>
      <c r="BO42" s="1" t="s">
        <v>1158</v>
      </c>
      <c r="BP42" s="1">
        <v>0</v>
      </c>
      <c r="BQ42" s="1">
        <v>0</v>
      </c>
      <c r="BR42" s="1">
        <v>0</v>
      </c>
      <c r="BS42" s="1">
        <v>0</v>
      </c>
      <c r="BT42" s="1">
        <v>0</v>
      </c>
      <c r="BU42" s="1">
        <v>1</v>
      </c>
      <c r="BV42" s="1">
        <v>0</v>
      </c>
      <c r="BW42" s="1">
        <v>0</v>
      </c>
      <c r="BX42" s="1">
        <v>0</v>
      </c>
      <c r="BY42" s="1">
        <v>0</v>
      </c>
      <c r="BZ42" s="1">
        <v>0</v>
      </c>
      <c r="CA42" s="1">
        <v>0</v>
      </c>
      <c r="CC42" s="1" t="s">
        <v>1155</v>
      </c>
      <c r="DQ42" s="1" t="s">
        <v>1397</v>
      </c>
      <c r="DR42" s="2">
        <v>1</v>
      </c>
      <c r="DS42" s="2">
        <v>0</v>
      </c>
      <c r="DT42" s="2">
        <v>0</v>
      </c>
      <c r="DU42" s="2">
        <v>0</v>
      </c>
      <c r="DV42" s="2">
        <v>0</v>
      </c>
      <c r="DX42" s="1" t="s">
        <v>1393</v>
      </c>
      <c r="DY42" s="2">
        <v>1</v>
      </c>
      <c r="DZ42" s="2">
        <v>0</v>
      </c>
      <c r="EA42" s="2">
        <v>0</v>
      </c>
      <c r="EB42" s="2">
        <v>0</v>
      </c>
      <c r="EC42" s="2">
        <v>0</v>
      </c>
      <c r="ED42" s="2">
        <v>0</v>
      </c>
      <c r="EE42" s="2">
        <v>0</v>
      </c>
      <c r="EF42" s="2">
        <v>0</v>
      </c>
      <c r="EG42" s="2">
        <v>0</v>
      </c>
      <c r="EH42" s="2">
        <v>0</v>
      </c>
      <c r="EI42" s="2">
        <v>0</v>
      </c>
      <c r="EJ42" s="2">
        <v>0</v>
      </c>
      <c r="EK42" s="2">
        <v>0</v>
      </c>
      <c r="EM42" s="1" t="s">
        <v>2621</v>
      </c>
      <c r="EN42" s="2">
        <v>0</v>
      </c>
      <c r="EO42" s="2">
        <v>0</v>
      </c>
      <c r="EP42" s="2">
        <v>0</v>
      </c>
      <c r="EQ42" s="2">
        <v>1</v>
      </c>
      <c r="ER42" s="2">
        <v>0</v>
      </c>
      <c r="ES42" s="2">
        <v>0</v>
      </c>
      <c r="ET42" s="2">
        <v>0</v>
      </c>
      <c r="EU42" s="2">
        <v>0</v>
      </c>
      <c r="EV42" s="2">
        <v>0</v>
      </c>
      <c r="EW42" s="2">
        <v>0</v>
      </c>
      <c r="EX42" s="2">
        <v>0</v>
      </c>
      <c r="EY42" s="2">
        <v>0</v>
      </c>
      <c r="EZ42" s="2">
        <v>0</v>
      </c>
      <c r="FB42" s="1" t="s">
        <v>1156</v>
      </c>
      <c r="FC42" s="1" t="s">
        <v>1158</v>
      </c>
      <c r="FD42" s="2">
        <v>0</v>
      </c>
      <c r="FE42" s="2">
        <v>0</v>
      </c>
      <c r="FF42" s="2">
        <v>0</v>
      </c>
      <c r="FG42" s="2">
        <v>0</v>
      </c>
      <c r="FH42" s="2">
        <v>1</v>
      </c>
      <c r="FI42" s="2">
        <v>0</v>
      </c>
      <c r="FJ42" s="2">
        <v>0</v>
      </c>
      <c r="FL42" s="1" t="s">
        <v>1197</v>
      </c>
      <c r="FM42" s="2">
        <v>0</v>
      </c>
      <c r="FN42" s="2">
        <v>1</v>
      </c>
      <c r="FO42" s="2">
        <v>0</v>
      </c>
      <c r="FP42" s="2">
        <v>0</v>
      </c>
      <c r="FQ42" s="2">
        <v>0</v>
      </c>
      <c r="FR42" s="2">
        <v>0</v>
      </c>
      <c r="FS42" s="2">
        <v>0</v>
      </c>
      <c r="FT42" s="2">
        <v>0</v>
      </c>
      <c r="FU42" s="2">
        <v>0</v>
      </c>
      <c r="FV42" s="2">
        <v>0</v>
      </c>
      <c r="FW42" s="2">
        <v>0</v>
      </c>
      <c r="FX42" s="2">
        <v>0</v>
      </c>
      <c r="FY42" s="2">
        <v>0</v>
      </c>
      <c r="GA42" s="1" t="s">
        <v>1156</v>
      </c>
      <c r="GI42" s="1" t="s">
        <v>1197</v>
      </c>
      <c r="GJ42" s="2">
        <v>0</v>
      </c>
      <c r="GK42" s="2">
        <v>1</v>
      </c>
      <c r="GL42" s="2">
        <v>0</v>
      </c>
      <c r="GM42" s="2">
        <v>0</v>
      </c>
      <c r="GN42" s="2">
        <v>0</v>
      </c>
      <c r="GO42" s="2">
        <v>0</v>
      </c>
      <c r="GP42" s="2">
        <v>0</v>
      </c>
      <c r="GQ42" s="2">
        <v>0</v>
      </c>
      <c r="GR42" s="2">
        <v>0</v>
      </c>
      <c r="GS42" s="2">
        <v>0</v>
      </c>
      <c r="GT42" s="2">
        <v>0</v>
      </c>
      <c r="GU42" s="2">
        <v>0</v>
      </c>
      <c r="GV42" s="2">
        <v>0</v>
      </c>
      <c r="AVT42" s="1">
        <v>136623441</v>
      </c>
      <c r="AVU42" s="1" t="s">
        <v>2622</v>
      </c>
      <c r="AVW42" s="1">
        <v>298</v>
      </c>
    </row>
    <row r="43" spans="1:693 1268:1271" x14ac:dyDescent="0.3">
      <c r="A43" s="1" t="s">
        <v>2623</v>
      </c>
      <c r="B43" s="1" t="s">
        <v>2624</v>
      </c>
      <c r="C43" s="1" t="s">
        <v>2625</v>
      </c>
      <c r="D43" s="1" t="s">
        <v>2442</v>
      </c>
      <c r="E43" s="1">
        <v>356676101957824</v>
      </c>
      <c r="F43" s="1" t="s">
        <v>2442</v>
      </c>
      <c r="I43" s="1" t="s">
        <v>1659</v>
      </c>
      <c r="J43" s="1" t="s">
        <v>2346</v>
      </c>
      <c r="K43" s="1" t="s">
        <v>2346</v>
      </c>
      <c r="N43" s="1" t="s">
        <v>1153</v>
      </c>
      <c r="O43" s="1">
        <v>1</v>
      </c>
      <c r="P43" s="1">
        <v>0</v>
      </c>
      <c r="Q43" s="1">
        <v>0</v>
      </c>
      <c r="R43" s="1">
        <v>0</v>
      </c>
      <c r="S43" s="1">
        <v>0</v>
      </c>
      <c r="U43" s="1" t="s">
        <v>2607</v>
      </c>
      <c r="W43" s="1" t="s">
        <v>1156</v>
      </c>
      <c r="X43" s="1" t="s">
        <v>1156</v>
      </c>
      <c r="AN43" s="1" t="s">
        <v>1195</v>
      </c>
      <c r="AO43" s="1">
        <v>150</v>
      </c>
      <c r="AP43" s="1" t="s">
        <v>1398</v>
      </c>
      <c r="AR43" s="1" t="s">
        <v>1801</v>
      </c>
      <c r="AS43" s="1" t="s">
        <v>1833</v>
      </c>
      <c r="AT43" s="1" t="s">
        <v>1156</v>
      </c>
      <c r="AU43" s="1" t="s">
        <v>1186</v>
      </c>
      <c r="AV43" s="1" t="s">
        <v>2548</v>
      </c>
      <c r="AW43" s="1">
        <v>1</v>
      </c>
      <c r="AX43" s="1">
        <v>0</v>
      </c>
      <c r="AY43" s="1">
        <v>1</v>
      </c>
      <c r="AZ43" s="1">
        <v>1</v>
      </c>
      <c r="BA43" s="1">
        <v>0</v>
      </c>
      <c r="BB43" s="1">
        <v>0</v>
      </c>
      <c r="BC43" s="1">
        <v>0</v>
      </c>
      <c r="BD43" s="1">
        <v>0</v>
      </c>
      <c r="BO43" s="1" t="s">
        <v>1158</v>
      </c>
      <c r="BP43" s="1">
        <v>0</v>
      </c>
      <c r="BQ43" s="1">
        <v>0</v>
      </c>
      <c r="BR43" s="1">
        <v>0</v>
      </c>
      <c r="BS43" s="1">
        <v>0</v>
      </c>
      <c r="BT43" s="1">
        <v>0</v>
      </c>
      <c r="BU43" s="1">
        <v>1</v>
      </c>
      <c r="BV43" s="1">
        <v>0</v>
      </c>
      <c r="BW43" s="1">
        <v>0</v>
      </c>
      <c r="BX43" s="1">
        <v>0</v>
      </c>
      <c r="BY43" s="1">
        <v>0</v>
      </c>
      <c r="BZ43" s="1">
        <v>0</v>
      </c>
      <c r="CA43" s="1">
        <v>0</v>
      </c>
      <c r="CC43" s="1" t="s">
        <v>1155</v>
      </c>
      <c r="DQ43" s="1" t="s">
        <v>2197</v>
      </c>
      <c r="DR43" s="2">
        <v>1</v>
      </c>
      <c r="DS43" s="2">
        <v>1</v>
      </c>
      <c r="DT43" s="2">
        <v>0</v>
      </c>
      <c r="DU43" s="2">
        <v>0</v>
      </c>
      <c r="DV43" s="2">
        <v>0</v>
      </c>
      <c r="DX43" s="1" t="s">
        <v>1154</v>
      </c>
      <c r="DY43" s="2">
        <v>0</v>
      </c>
      <c r="DZ43" s="2">
        <v>0</v>
      </c>
      <c r="EA43" s="2">
        <v>0</v>
      </c>
      <c r="EB43" s="2">
        <v>0</v>
      </c>
      <c r="EC43" s="2">
        <v>0</v>
      </c>
      <c r="ED43" s="2">
        <v>0</v>
      </c>
      <c r="EE43" s="2">
        <v>0</v>
      </c>
      <c r="EF43" s="2">
        <v>0</v>
      </c>
      <c r="EG43" s="2">
        <v>0</v>
      </c>
      <c r="EH43" s="2">
        <v>0</v>
      </c>
      <c r="EI43" s="2">
        <v>0</v>
      </c>
      <c r="EJ43" s="2">
        <v>1</v>
      </c>
      <c r="EK43" s="2">
        <v>0</v>
      </c>
      <c r="EL43" s="1" t="s">
        <v>2626</v>
      </c>
      <c r="EM43" s="1" t="s">
        <v>1194</v>
      </c>
      <c r="EN43" s="2">
        <v>0</v>
      </c>
      <c r="EO43" s="2">
        <v>0</v>
      </c>
      <c r="EP43" s="2">
        <v>0</v>
      </c>
      <c r="EQ43" s="2">
        <v>0</v>
      </c>
      <c r="ER43" s="2">
        <v>1</v>
      </c>
      <c r="ES43" s="2">
        <v>0</v>
      </c>
      <c r="ET43" s="2">
        <v>0</v>
      </c>
      <c r="EU43" s="2">
        <v>0</v>
      </c>
      <c r="EV43" s="2">
        <v>0</v>
      </c>
      <c r="EW43" s="2">
        <v>0</v>
      </c>
      <c r="EX43" s="2">
        <v>0</v>
      </c>
      <c r="EY43" s="2">
        <v>0</v>
      </c>
      <c r="EZ43" s="2">
        <v>0</v>
      </c>
      <c r="FB43" s="1" t="s">
        <v>1156</v>
      </c>
      <c r="FC43" s="1" t="s">
        <v>1158</v>
      </c>
      <c r="FD43" s="2">
        <v>0</v>
      </c>
      <c r="FE43" s="2">
        <v>0</v>
      </c>
      <c r="FF43" s="2">
        <v>0</v>
      </c>
      <c r="FG43" s="2">
        <v>0</v>
      </c>
      <c r="FH43" s="2">
        <v>1</v>
      </c>
      <c r="FI43" s="2">
        <v>0</v>
      </c>
      <c r="FJ43" s="2">
        <v>0</v>
      </c>
      <c r="FL43" s="1" t="s">
        <v>2627</v>
      </c>
      <c r="FM43" s="2">
        <v>0</v>
      </c>
      <c r="FN43" s="2">
        <v>1</v>
      </c>
      <c r="FO43" s="2">
        <v>1</v>
      </c>
      <c r="FP43" s="2">
        <v>0</v>
      </c>
      <c r="FQ43" s="2">
        <v>1</v>
      </c>
      <c r="FR43" s="2">
        <v>1</v>
      </c>
      <c r="FS43" s="2">
        <v>0</v>
      </c>
      <c r="FT43" s="2">
        <v>0</v>
      </c>
      <c r="FU43" s="2">
        <v>0</v>
      </c>
      <c r="FV43" s="2">
        <v>0</v>
      </c>
      <c r="FW43" s="2">
        <v>0</v>
      </c>
      <c r="FX43" s="2">
        <v>0</v>
      </c>
      <c r="FY43" s="2">
        <v>0</v>
      </c>
      <c r="GA43" s="1" t="s">
        <v>1156</v>
      </c>
      <c r="GI43" s="1" t="s">
        <v>2628</v>
      </c>
      <c r="GJ43" s="2">
        <v>0</v>
      </c>
      <c r="GK43" s="2">
        <v>0</v>
      </c>
      <c r="GL43" s="2">
        <v>1</v>
      </c>
      <c r="GM43" s="2">
        <v>0</v>
      </c>
      <c r="GN43" s="2">
        <v>1</v>
      </c>
      <c r="GO43" s="2">
        <v>0</v>
      </c>
      <c r="GP43" s="2">
        <v>0</v>
      </c>
      <c r="GQ43" s="2">
        <v>0</v>
      </c>
      <c r="GR43" s="2">
        <v>0</v>
      </c>
      <c r="GS43" s="2">
        <v>0</v>
      </c>
      <c r="GT43" s="2">
        <v>1</v>
      </c>
      <c r="GU43" s="2">
        <v>0</v>
      </c>
      <c r="GV43" s="2">
        <v>0</v>
      </c>
      <c r="AVT43" s="1">
        <v>136623458</v>
      </c>
      <c r="AVU43" s="1" t="s">
        <v>2629</v>
      </c>
      <c r="AVW43" s="1">
        <v>299</v>
      </c>
    </row>
    <row r="44" spans="1:693 1268:1271" x14ac:dyDescent="0.3">
      <c r="A44" s="1" t="s">
        <v>2630</v>
      </c>
      <c r="B44" s="1" t="s">
        <v>2631</v>
      </c>
      <c r="C44" s="1" t="s">
        <v>2632</v>
      </c>
      <c r="D44" s="1" t="s">
        <v>2442</v>
      </c>
      <c r="E44" s="1">
        <v>356676102908909</v>
      </c>
      <c r="F44" s="1" t="s">
        <v>2442</v>
      </c>
      <c r="I44" s="1" t="s">
        <v>1659</v>
      </c>
      <c r="J44" s="1" t="s">
        <v>2346</v>
      </c>
      <c r="K44" s="1" t="s">
        <v>2346</v>
      </c>
      <c r="N44" s="1" t="s">
        <v>1389</v>
      </c>
      <c r="O44" s="1">
        <v>0</v>
      </c>
      <c r="P44" s="1">
        <v>0</v>
      </c>
      <c r="Q44" s="1">
        <v>0</v>
      </c>
      <c r="R44" s="1">
        <v>1</v>
      </c>
      <c r="S44" s="1">
        <v>0</v>
      </c>
      <c r="OK44" s="1" t="s">
        <v>2633</v>
      </c>
      <c r="OM44" s="1" t="s">
        <v>2634</v>
      </c>
      <c r="ON44" s="1" t="s">
        <v>1156</v>
      </c>
      <c r="PL44" s="1" t="s">
        <v>1156</v>
      </c>
      <c r="PM44" s="1">
        <v>2</v>
      </c>
      <c r="PN44" s="1" t="s">
        <v>1156</v>
      </c>
      <c r="PO44" s="1">
        <v>1</v>
      </c>
      <c r="PP44" s="1">
        <v>1</v>
      </c>
      <c r="PQ44" s="1" t="s">
        <v>1156</v>
      </c>
      <c r="PR44" s="1" t="s">
        <v>1156</v>
      </c>
      <c r="PS44" s="1" t="s">
        <v>1391</v>
      </c>
      <c r="PU44" s="1" t="s">
        <v>1155</v>
      </c>
      <c r="PX44" s="1" t="s">
        <v>1156</v>
      </c>
      <c r="PY44" s="1" t="s">
        <v>2491</v>
      </c>
      <c r="PZ44" s="1" t="s">
        <v>2635</v>
      </c>
      <c r="QA44" s="1">
        <v>0</v>
      </c>
      <c r="QB44" s="1">
        <v>0</v>
      </c>
      <c r="QC44" s="1">
        <v>0</v>
      </c>
      <c r="QD44" s="1">
        <v>0</v>
      </c>
      <c r="QE44" s="1">
        <v>0</v>
      </c>
      <c r="QF44" s="1">
        <v>0</v>
      </c>
      <c r="QG44" s="1">
        <v>0</v>
      </c>
      <c r="QH44" s="1">
        <v>0</v>
      </c>
      <c r="QI44" s="1">
        <v>0</v>
      </c>
      <c r="QJ44" s="1">
        <v>0</v>
      </c>
      <c r="QK44" s="1">
        <v>1</v>
      </c>
      <c r="QL44" s="1">
        <v>0</v>
      </c>
      <c r="QM44" s="1">
        <v>0</v>
      </c>
      <c r="QN44" s="1">
        <v>0</v>
      </c>
      <c r="QP44" s="1" t="s">
        <v>1156</v>
      </c>
      <c r="QQ44" s="1" t="s">
        <v>2636</v>
      </c>
      <c r="QR44" s="1">
        <v>1</v>
      </c>
      <c r="QS44" s="1">
        <v>1</v>
      </c>
      <c r="QT44" s="1">
        <v>0</v>
      </c>
      <c r="QU44" s="1">
        <v>0</v>
      </c>
      <c r="QV44" s="1">
        <v>0</v>
      </c>
      <c r="QW44" s="1">
        <v>0</v>
      </c>
      <c r="QY44" s="1" t="s">
        <v>1155</v>
      </c>
      <c r="RG44" s="1">
        <v>20</v>
      </c>
      <c r="RH44" s="1" t="s">
        <v>1156</v>
      </c>
      <c r="RI44" s="1" t="s">
        <v>1157</v>
      </c>
      <c r="RJ44" s="1" t="s">
        <v>2637</v>
      </c>
      <c r="RK44" s="1">
        <v>1</v>
      </c>
      <c r="RL44" s="1">
        <v>0</v>
      </c>
      <c r="RM44" s="1">
        <v>0</v>
      </c>
      <c r="RN44" s="1">
        <v>0</v>
      </c>
      <c r="RO44" s="1">
        <v>0</v>
      </c>
      <c r="RP44" s="1">
        <v>0</v>
      </c>
      <c r="RQ44" s="1">
        <v>0</v>
      </c>
      <c r="RR44" s="1">
        <v>0</v>
      </c>
      <c r="RS44" s="1">
        <v>0</v>
      </c>
      <c r="RT44" s="1">
        <v>1</v>
      </c>
      <c r="RU44" s="57" t="s">
        <v>2638</v>
      </c>
      <c r="SE44" s="1" t="s">
        <v>2195</v>
      </c>
      <c r="SF44" s="57">
        <v>5</v>
      </c>
      <c r="SG44" s="1">
        <v>0</v>
      </c>
      <c r="SH44" s="1">
        <v>0</v>
      </c>
      <c r="SI44" s="1">
        <v>2</v>
      </c>
      <c r="SJ44" s="1">
        <v>0</v>
      </c>
      <c r="SK44" s="1">
        <v>0</v>
      </c>
      <c r="SL44" s="1">
        <v>0</v>
      </c>
      <c r="SM44" s="1">
        <v>1</v>
      </c>
      <c r="SN44" s="1" t="s">
        <v>1158</v>
      </c>
      <c r="SO44" s="1">
        <v>0</v>
      </c>
      <c r="SP44" s="1">
        <v>0</v>
      </c>
      <c r="SQ44" s="1">
        <v>0</v>
      </c>
      <c r="SR44" s="1">
        <v>0</v>
      </c>
      <c r="SS44" s="1">
        <v>0</v>
      </c>
      <c r="ST44" s="1">
        <v>1</v>
      </c>
      <c r="SU44" s="1">
        <v>0</v>
      </c>
      <c r="SV44" s="1">
        <v>0</v>
      </c>
      <c r="SW44" s="1">
        <v>0</v>
      </c>
      <c r="SX44" s="1">
        <v>0</v>
      </c>
      <c r="SY44" s="1">
        <v>0</v>
      </c>
      <c r="SZ44" s="1">
        <v>0</v>
      </c>
      <c r="TB44" s="1" t="s">
        <v>1155</v>
      </c>
      <c r="TJ44" s="1" t="s">
        <v>1155</v>
      </c>
      <c r="UF44" s="1" t="s">
        <v>1164</v>
      </c>
      <c r="UG44" s="1">
        <v>0</v>
      </c>
      <c r="UH44" s="1">
        <v>0</v>
      </c>
      <c r="UI44" s="1">
        <v>0</v>
      </c>
      <c r="UJ44" s="1">
        <v>0</v>
      </c>
      <c r="UK44" s="1">
        <v>1</v>
      </c>
      <c r="UM44" s="1" t="s">
        <v>2103</v>
      </c>
      <c r="UO44" s="1" t="s">
        <v>1156</v>
      </c>
      <c r="UP44" s="1" t="s">
        <v>2639</v>
      </c>
      <c r="UQ44" s="1">
        <v>1</v>
      </c>
      <c r="UR44" s="1">
        <v>1</v>
      </c>
      <c r="US44" s="1">
        <v>1</v>
      </c>
      <c r="UT44" s="1">
        <v>1</v>
      </c>
      <c r="UU44" s="1">
        <v>1</v>
      </c>
      <c r="UV44" s="1">
        <v>1</v>
      </c>
      <c r="UW44" s="1">
        <v>1</v>
      </c>
      <c r="UX44" s="1">
        <v>1</v>
      </c>
      <c r="UY44" s="1">
        <v>0</v>
      </c>
      <c r="UZ44" s="1">
        <v>1</v>
      </c>
      <c r="VA44" s="1">
        <v>1</v>
      </c>
      <c r="VB44" s="1">
        <v>1</v>
      </c>
      <c r="VC44" s="1">
        <v>1</v>
      </c>
      <c r="VD44" s="1">
        <v>0</v>
      </c>
      <c r="VE44" s="1">
        <v>0</v>
      </c>
      <c r="VF44" s="1">
        <v>0</v>
      </c>
      <c r="VH44" s="1" t="s">
        <v>1194</v>
      </c>
      <c r="VI44" s="1">
        <v>0</v>
      </c>
      <c r="VJ44" s="1">
        <v>0</v>
      </c>
      <c r="VK44" s="1">
        <v>0</v>
      </c>
      <c r="VL44" s="1">
        <v>0</v>
      </c>
      <c r="VM44" s="1">
        <v>1</v>
      </c>
      <c r="VN44" s="1">
        <v>0</v>
      </c>
      <c r="VO44" s="1">
        <v>0</v>
      </c>
      <c r="VP44" s="1">
        <v>0</v>
      </c>
      <c r="VQ44" s="1">
        <v>0</v>
      </c>
      <c r="VR44" s="1">
        <v>0</v>
      </c>
      <c r="VS44" s="1">
        <v>0</v>
      </c>
      <c r="VT44" s="1">
        <v>0</v>
      </c>
      <c r="VU44" s="1">
        <v>0</v>
      </c>
      <c r="VW44" s="1" t="s">
        <v>1156</v>
      </c>
      <c r="VX44" s="1" t="s">
        <v>1158</v>
      </c>
      <c r="VY44" s="1">
        <v>0</v>
      </c>
      <c r="VZ44" s="1">
        <v>0</v>
      </c>
      <c r="WA44" s="1">
        <v>0</v>
      </c>
      <c r="WB44" s="1">
        <v>0</v>
      </c>
      <c r="WC44" s="1">
        <v>1</v>
      </c>
      <c r="WD44" s="1">
        <v>0</v>
      </c>
      <c r="WE44" s="1">
        <v>0</v>
      </c>
      <c r="WG44" s="1" t="s">
        <v>2640</v>
      </c>
      <c r="WH44" s="1">
        <v>1</v>
      </c>
      <c r="WI44" s="1">
        <v>1</v>
      </c>
      <c r="WJ44" s="1">
        <v>1</v>
      </c>
      <c r="WK44" s="1">
        <v>1</v>
      </c>
      <c r="WL44" s="1">
        <v>1</v>
      </c>
      <c r="WM44" s="1">
        <v>1</v>
      </c>
      <c r="WN44" s="1">
        <v>1</v>
      </c>
      <c r="WO44" s="1">
        <v>1</v>
      </c>
      <c r="WP44" s="1">
        <v>1</v>
      </c>
      <c r="WQ44" s="1">
        <v>1</v>
      </c>
      <c r="WR44" s="1">
        <v>0</v>
      </c>
      <c r="WS44" s="1">
        <v>0</v>
      </c>
      <c r="WT44" s="1">
        <v>0</v>
      </c>
      <c r="WV44" s="1" t="s">
        <v>1156</v>
      </c>
      <c r="XD44" s="1" t="s">
        <v>2641</v>
      </c>
      <c r="XE44" s="1">
        <v>1</v>
      </c>
      <c r="XF44" s="1">
        <v>1</v>
      </c>
      <c r="XG44" s="1">
        <v>1</v>
      </c>
      <c r="XH44" s="1">
        <v>1</v>
      </c>
      <c r="XI44" s="1">
        <v>1</v>
      </c>
      <c r="XJ44" s="1">
        <v>1</v>
      </c>
      <c r="XK44" s="1">
        <v>1</v>
      </c>
      <c r="XL44" s="1">
        <v>1</v>
      </c>
      <c r="XM44" s="1">
        <v>1</v>
      </c>
      <c r="XN44" s="1">
        <v>0</v>
      </c>
      <c r="XO44" s="1">
        <v>0</v>
      </c>
      <c r="XP44" s="1">
        <v>0</v>
      </c>
      <c r="XQ44" s="1">
        <v>0</v>
      </c>
      <c r="XT44" s="1" t="s">
        <v>1156</v>
      </c>
      <c r="XU44" s="1" t="s">
        <v>1530</v>
      </c>
      <c r="XV44" s="1">
        <v>1</v>
      </c>
      <c r="XW44" s="1">
        <v>1</v>
      </c>
      <c r="XX44" s="1">
        <v>1</v>
      </c>
      <c r="XY44" s="1">
        <v>1</v>
      </c>
      <c r="XZ44" s="1">
        <v>1</v>
      </c>
      <c r="YA44" s="1">
        <v>1</v>
      </c>
      <c r="YB44" s="1">
        <v>0</v>
      </c>
      <c r="YC44" s="1">
        <v>0</v>
      </c>
      <c r="YE44" s="1" t="s">
        <v>1156</v>
      </c>
      <c r="YF44" s="1" t="s">
        <v>1155</v>
      </c>
      <c r="YH44" s="1" t="s">
        <v>1156</v>
      </c>
      <c r="YI44" s="1" t="s">
        <v>2642</v>
      </c>
      <c r="YJ44" s="1">
        <v>1</v>
      </c>
      <c r="YK44" s="1">
        <v>1</v>
      </c>
      <c r="YL44" s="1">
        <v>1</v>
      </c>
      <c r="YM44" s="1">
        <v>1</v>
      </c>
      <c r="YN44" s="1">
        <v>1</v>
      </c>
      <c r="YO44" s="1">
        <v>0</v>
      </c>
      <c r="YP44" s="1">
        <v>0</v>
      </c>
      <c r="YQ44" s="1">
        <v>0</v>
      </c>
      <c r="YS44" s="1" t="s">
        <v>1155</v>
      </c>
      <c r="ZA44" s="1" t="s">
        <v>1156</v>
      </c>
      <c r="ZB44" s="1">
        <v>20</v>
      </c>
      <c r="ZF44" s="1" t="s">
        <v>1155</v>
      </c>
      <c r="ZH44" s="1">
        <v>4</v>
      </c>
      <c r="ZI44" s="1" t="s">
        <v>1160</v>
      </c>
      <c r="ZK44" s="1" t="s">
        <v>1156</v>
      </c>
      <c r="ZL44" s="1" t="s">
        <v>1156</v>
      </c>
      <c r="ZM44" s="1" t="s">
        <v>1155</v>
      </c>
      <c r="ZN44" s="1" t="s">
        <v>1155</v>
      </c>
      <c r="ZO44" s="1" t="s">
        <v>1156</v>
      </c>
      <c r="ZP44" s="1">
        <v>2</v>
      </c>
      <c r="ZQ44" s="1" t="s">
        <v>1155</v>
      </c>
      <c r="AVT44" s="1">
        <v>136623470</v>
      </c>
      <c r="AVU44" s="1" t="s">
        <v>2643</v>
      </c>
      <c r="AVW44" s="1">
        <v>300</v>
      </c>
    </row>
    <row r="45" spans="1:693 1268:1271" x14ac:dyDescent="0.3">
      <c r="A45" s="1" t="s">
        <v>2644</v>
      </c>
      <c r="B45" s="1" t="s">
        <v>2645</v>
      </c>
      <c r="C45" s="1" t="s">
        <v>2646</v>
      </c>
      <c r="D45" s="1" t="s">
        <v>2345</v>
      </c>
      <c r="E45" s="1">
        <v>356676102903926</v>
      </c>
      <c r="F45" s="1" t="s">
        <v>2345</v>
      </c>
      <c r="I45" s="1" t="s">
        <v>1659</v>
      </c>
      <c r="J45" s="1" t="s">
        <v>2346</v>
      </c>
      <c r="K45" s="1" t="s">
        <v>2346</v>
      </c>
      <c r="N45" s="1" t="s">
        <v>1153</v>
      </c>
      <c r="O45" s="1">
        <v>1</v>
      </c>
      <c r="P45" s="1">
        <v>0</v>
      </c>
      <c r="Q45" s="1">
        <v>0</v>
      </c>
      <c r="R45" s="1">
        <v>0</v>
      </c>
      <c r="S45" s="1">
        <v>0</v>
      </c>
      <c r="U45" s="1" t="s">
        <v>1840</v>
      </c>
      <c r="W45" s="1" t="s">
        <v>1155</v>
      </c>
      <c r="X45" s="1" t="s">
        <v>1156</v>
      </c>
      <c r="AN45" s="1" t="s">
        <v>1155</v>
      </c>
      <c r="AO45" s="1">
        <v>100</v>
      </c>
      <c r="AP45" s="1" t="s">
        <v>2145</v>
      </c>
      <c r="AR45" s="1" t="s">
        <v>1710</v>
      </c>
      <c r="AS45" s="1" t="s">
        <v>1841</v>
      </c>
      <c r="AT45" s="1" t="s">
        <v>1156</v>
      </c>
      <c r="AU45" s="1" t="s">
        <v>1157</v>
      </c>
      <c r="AV45" s="1" t="s">
        <v>2484</v>
      </c>
      <c r="AW45" s="1">
        <v>0</v>
      </c>
      <c r="AX45" s="1">
        <v>0</v>
      </c>
      <c r="AY45" s="1">
        <v>1</v>
      </c>
      <c r="AZ45" s="1">
        <v>0</v>
      </c>
      <c r="BA45" s="1">
        <v>0</v>
      </c>
      <c r="BB45" s="1">
        <v>0</v>
      </c>
      <c r="BC45" s="1">
        <v>0</v>
      </c>
      <c r="BD45" s="1">
        <v>0</v>
      </c>
      <c r="BO45" s="1" t="s">
        <v>1158</v>
      </c>
      <c r="BP45" s="1">
        <v>0</v>
      </c>
      <c r="BQ45" s="1">
        <v>0</v>
      </c>
      <c r="BR45" s="1">
        <v>0</v>
      </c>
      <c r="BS45" s="1">
        <v>0</v>
      </c>
      <c r="BT45" s="1">
        <v>0</v>
      </c>
      <c r="BU45" s="1">
        <v>1</v>
      </c>
      <c r="BV45" s="1">
        <v>0</v>
      </c>
      <c r="BW45" s="1">
        <v>0</v>
      </c>
      <c r="BX45" s="1">
        <v>0</v>
      </c>
      <c r="BY45" s="1">
        <v>0</v>
      </c>
      <c r="BZ45" s="1">
        <v>0</v>
      </c>
      <c r="CA45" s="1">
        <v>0</v>
      </c>
      <c r="CC45" s="1" t="s">
        <v>1155</v>
      </c>
      <c r="DQ45" s="1" t="s">
        <v>1169</v>
      </c>
      <c r="DR45" s="2">
        <v>0</v>
      </c>
      <c r="DS45" s="2">
        <v>1</v>
      </c>
      <c r="DT45" s="2">
        <v>0</v>
      </c>
      <c r="DU45" s="2">
        <v>0</v>
      </c>
      <c r="DV45" s="2">
        <v>0</v>
      </c>
      <c r="DX45" s="1" t="s">
        <v>2147</v>
      </c>
      <c r="DY45" s="2">
        <v>0</v>
      </c>
      <c r="DZ45" s="2">
        <v>0</v>
      </c>
      <c r="EA45" s="2">
        <v>0</v>
      </c>
      <c r="EB45" s="2">
        <v>0</v>
      </c>
      <c r="EC45" s="2">
        <v>0</v>
      </c>
      <c r="ED45" s="2">
        <v>0</v>
      </c>
      <c r="EE45" s="2">
        <v>0</v>
      </c>
      <c r="EF45" s="2">
        <v>1</v>
      </c>
      <c r="EG45" s="2">
        <v>0</v>
      </c>
      <c r="EH45" s="2">
        <v>0</v>
      </c>
      <c r="EI45" s="2">
        <v>0</v>
      </c>
      <c r="EJ45" s="2">
        <v>0</v>
      </c>
      <c r="EK45" s="2">
        <v>0</v>
      </c>
      <c r="EM45" s="1" t="s">
        <v>1194</v>
      </c>
      <c r="EN45" s="2">
        <v>0</v>
      </c>
      <c r="EO45" s="2">
        <v>0</v>
      </c>
      <c r="EP45" s="2">
        <v>0</v>
      </c>
      <c r="EQ45" s="2">
        <v>0</v>
      </c>
      <c r="ER45" s="2">
        <v>1</v>
      </c>
      <c r="ES45" s="2">
        <v>0</v>
      </c>
      <c r="ET45" s="2">
        <v>0</v>
      </c>
      <c r="EU45" s="2">
        <v>0</v>
      </c>
      <c r="EV45" s="2">
        <v>0</v>
      </c>
      <c r="EW45" s="2">
        <v>0</v>
      </c>
      <c r="EX45" s="2">
        <v>0</v>
      </c>
      <c r="EY45" s="2">
        <v>0</v>
      </c>
      <c r="EZ45" s="2">
        <v>0</v>
      </c>
      <c r="FB45" s="1" t="s">
        <v>1155</v>
      </c>
      <c r="GI45" s="1" t="s">
        <v>2647</v>
      </c>
      <c r="GJ45" s="2">
        <v>0</v>
      </c>
      <c r="GK45" s="2">
        <v>0</v>
      </c>
      <c r="GL45" s="2">
        <v>0</v>
      </c>
      <c r="GM45" s="2">
        <v>0</v>
      </c>
      <c r="GN45" s="2">
        <v>0</v>
      </c>
      <c r="GO45" s="2">
        <v>1</v>
      </c>
      <c r="GP45" s="2">
        <v>0</v>
      </c>
      <c r="GQ45" s="2">
        <v>0</v>
      </c>
      <c r="GR45" s="2">
        <v>0</v>
      </c>
      <c r="GS45" s="2">
        <v>0</v>
      </c>
      <c r="GT45" s="2">
        <v>0</v>
      </c>
      <c r="GU45" s="2">
        <v>0</v>
      </c>
      <c r="GV45" s="2">
        <v>0</v>
      </c>
      <c r="AVT45" s="1">
        <v>136623504</v>
      </c>
      <c r="AVU45" s="1" t="s">
        <v>2648</v>
      </c>
      <c r="AVW45" s="1">
        <v>301</v>
      </c>
    </row>
    <row r="46" spans="1:693 1268:1271" x14ac:dyDescent="0.3">
      <c r="A46" s="1" t="s">
        <v>2649</v>
      </c>
      <c r="B46" s="1" t="s">
        <v>2650</v>
      </c>
      <c r="C46" s="1" t="s">
        <v>2651</v>
      </c>
      <c r="D46" s="1" t="s">
        <v>2442</v>
      </c>
      <c r="E46" s="1">
        <v>356676101957824</v>
      </c>
      <c r="F46" s="1" t="s">
        <v>2442</v>
      </c>
      <c r="I46" s="1" t="s">
        <v>1659</v>
      </c>
      <c r="J46" s="1" t="s">
        <v>2346</v>
      </c>
      <c r="K46" s="1" t="s">
        <v>2346</v>
      </c>
      <c r="N46" s="1" t="s">
        <v>1153</v>
      </c>
      <c r="O46" s="1">
        <v>1</v>
      </c>
      <c r="P46" s="1">
        <v>0</v>
      </c>
      <c r="Q46" s="1">
        <v>0</v>
      </c>
      <c r="R46" s="1">
        <v>0</v>
      </c>
      <c r="S46" s="1">
        <v>0</v>
      </c>
      <c r="U46" s="1" t="s">
        <v>2607</v>
      </c>
      <c r="W46" s="1" t="s">
        <v>1156</v>
      </c>
      <c r="X46" s="1" t="s">
        <v>1156</v>
      </c>
      <c r="AN46" s="1" t="s">
        <v>1182</v>
      </c>
      <c r="AO46" s="1">
        <v>180</v>
      </c>
      <c r="AP46" s="1" t="s">
        <v>2559</v>
      </c>
      <c r="AR46" s="1" t="s">
        <v>1801</v>
      </c>
      <c r="AS46" s="1" t="s">
        <v>1833</v>
      </c>
      <c r="AT46" s="1" t="s">
        <v>1155</v>
      </c>
      <c r="BO46" s="1" t="s">
        <v>1158</v>
      </c>
      <c r="BP46" s="1">
        <v>0</v>
      </c>
      <c r="BQ46" s="1">
        <v>0</v>
      </c>
      <c r="BR46" s="1">
        <v>0</v>
      </c>
      <c r="BS46" s="1">
        <v>0</v>
      </c>
      <c r="BT46" s="1">
        <v>0</v>
      </c>
      <c r="BU46" s="1">
        <v>1</v>
      </c>
      <c r="BV46" s="1">
        <v>0</v>
      </c>
      <c r="BW46" s="1">
        <v>0</v>
      </c>
      <c r="BX46" s="1">
        <v>0</v>
      </c>
      <c r="BY46" s="1">
        <v>0</v>
      </c>
      <c r="BZ46" s="1">
        <v>0</v>
      </c>
      <c r="CA46" s="1">
        <v>0</v>
      </c>
      <c r="CC46" s="1" t="s">
        <v>1155</v>
      </c>
      <c r="DQ46" s="1" t="s">
        <v>2197</v>
      </c>
      <c r="DR46" s="2">
        <v>1</v>
      </c>
      <c r="DS46" s="2">
        <v>1</v>
      </c>
      <c r="DT46" s="2">
        <v>0</v>
      </c>
      <c r="DU46" s="2">
        <v>0</v>
      </c>
      <c r="DV46" s="2">
        <v>0</v>
      </c>
      <c r="DX46" s="1" t="s">
        <v>1154</v>
      </c>
      <c r="DY46" s="2">
        <v>0</v>
      </c>
      <c r="DZ46" s="2">
        <v>0</v>
      </c>
      <c r="EA46" s="2">
        <v>0</v>
      </c>
      <c r="EB46" s="2">
        <v>0</v>
      </c>
      <c r="EC46" s="2">
        <v>0</v>
      </c>
      <c r="ED46" s="2">
        <v>0</v>
      </c>
      <c r="EE46" s="2">
        <v>0</v>
      </c>
      <c r="EF46" s="2">
        <v>0</v>
      </c>
      <c r="EG46" s="2">
        <v>0</v>
      </c>
      <c r="EH46" s="2">
        <v>0</v>
      </c>
      <c r="EI46" s="2">
        <v>0</v>
      </c>
      <c r="EJ46" s="2">
        <v>1</v>
      </c>
      <c r="EK46" s="2">
        <v>0</v>
      </c>
      <c r="EL46" s="1" t="s">
        <v>2758</v>
      </c>
      <c r="EM46" s="1" t="s">
        <v>1194</v>
      </c>
      <c r="EN46" s="2">
        <v>0</v>
      </c>
      <c r="EO46" s="2">
        <v>0</v>
      </c>
      <c r="EP46" s="2">
        <v>0</v>
      </c>
      <c r="EQ46" s="2">
        <v>0</v>
      </c>
      <c r="ER46" s="2">
        <v>1</v>
      </c>
      <c r="ES46" s="2">
        <v>0</v>
      </c>
      <c r="ET46" s="2">
        <v>0</v>
      </c>
      <c r="EU46" s="2">
        <v>0</v>
      </c>
      <c r="EV46" s="2">
        <v>0</v>
      </c>
      <c r="EW46" s="2">
        <v>0</v>
      </c>
      <c r="EX46" s="2">
        <v>0</v>
      </c>
      <c r="EY46" s="2">
        <v>0</v>
      </c>
      <c r="EZ46" s="2">
        <v>0</v>
      </c>
      <c r="FB46" s="1" t="s">
        <v>1156</v>
      </c>
      <c r="FC46" s="1" t="s">
        <v>1158</v>
      </c>
      <c r="FD46" s="2">
        <v>0</v>
      </c>
      <c r="FE46" s="2">
        <v>0</v>
      </c>
      <c r="FF46" s="2">
        <v>0</v>
      </c>
      <c r="FG46" s="2">
        <v>0</v>
      </c>
      <c r="FH46" s="2">
        <v>1</v>
      </c>
      <c r="FI46" s="2">
        <v>0</v>
      </c>
      <c r="FJ46" s="2">
        <v>0</v>
      </c>
      <c r="FL46" s="1" t="s">
        <v>2627</v>
      </c>
      <c r="FM46" s="2">
        <v>0</v>
      </c>
      <c r="FN46" s="2">
        <v>1</v>
      </c>
      <c r="FO46" s="2">
        <v>1</v>
      </c>
      <c r="FP46" s="2">
        <v>0</v>
      </c>
      <c r="FQ46" s="2">
        <v>1</v>
      </c>
      <c r="FR46" s="2">
        <v>1</v>
      </c>
      <c r="FS46" s="2">
        <v>0</v>
      </c>
      <c r="FT46" s="2">
        <v>0</v>
      </c>
      <c r="FU46" s="2">
        <v>0</v>
      </c>
      <c r="FV46" s="2">
        <v>0</v>
      </c>
      <c r="FW46" s="2">
        <v>0</v>
      </c>
      <c r="FX46" s="2">
        <v>0</v>
      </c>
      <c r="FY46" s="2">
        <v>0</v>
      </c>
      <c r="GA46" s="1" t="s">
        <v>1156</v>
      </c>
      <c r="GI46" s="1" t="s">
        <v>2652</v>
      </c>
      <c r="GJ46" s="2">
        <v>0</v>
      </c>
      <c r="GK46" s="2">
        <v>1</v>
      </c>
      <c r="GL46" s="2">
        <v>0</v>
      </c>
      <c r="GM46" s="2">
        <v>0</v>
      </c>
      <c r="GN46" s="2">
        <v>1</v>
      </c>
      <c r="GO46" s="2">
        <v>0</v>
      </c>
      <c r="GP46" s="2">
        <v>1</v>
      </c>
      <c r="GQ46" s="2">
        <v>0</v>
      </c>
      <c r="GR46" s="2">
        <v>0</v>
      </c>
      <c r="GS46" s="2">
        <v>0</v>
      </c>
      <c r="GT46" s="2">
        <v>1</v>
      </c>
      <c r="GU46" s="2">
        <v>0</v>
      </c>
      <c r="GV46" s="2">
        <v>0</v>
      </c>
      <c r="AVT46" s="1">
        <v>136623523</v>
      </c>
      <c r="AVU46" s="1" t="s">
        <v>2653</v>
      </c>
      <c r="AVW46" s="1">
        <v>302</v>
      </c>
    </row>
    <row r="47" spans="1:693 1268:1271" x14ac:dyDescent="0.3">
      <c r="A47" s="1" t="s">
        <v>2654</v>
      </c>
      <c r="B47" s="1" t="s">
        <v>2655</v>
      </c>
      <c r="C47" s="1" t="s">
        <v>2656</v>
      </c>
      <c r="D47" s="1" t="s">
        <v>2442</v>
      </c>
      <c r="E47" s="1">
        <v>356676102908909</v>
      </c>
      <c r="F47" s="1" t="s">
        <v>2442</v>
      </c>
      <c r="I47" s="1" t="s">
        <v>1659</v>
      </c>
      <c r="J47" s="1" t="s">
        <v>2346</v>
      </c>
      <c r="K47" s="1" t="s">
        <v>2346</v>
      </c>
      <c r="N47" s="1" t="s">
        <v>1153</v>
      </c>
      <c r="O47" s="1">
        <v>1</v>
      </c>
      <c r="P47" s="1">
        <v>0</v>
      </c>
      <c r="Q47" s="1">
        <v>0</v>
      </c>
      <c r="R47" s="1">
        <v>0</v>
      </c>
      <c r="S47" s="1">
        <v>0</v>
      </c>
      <c r="U47" s="1" t="s">
        <v>2277</v>
      </c>
      <c r="W47" s="1" t="s">
        <v>1155</v>
      </c>
      <c r="X47" s="1" t="s">
        <v>1156</v>
      </c>
      <c r="AN47" s="1" t="s">
        <v>1182</v>
      </c>
      <c r="AO47" s="1">
        <v>18</v>
      </c>
      <c r="AP47" s="1" t="s">
        <v>2145</v>
      </c>
      <c r="AR47" s="1" t="s">
        <v>1801</v>
      </c>
      <c r="AS47" s="1" t="s">
        <v>1841</v>
      </c>
      <c r="AT47" s="1" t="s">
        <v>1155</v>
      </c>
      <c r="BO47" s="1" t="s">
        <v>1159</v>
      </c>
      <c r="BP47" s="1">
        <v>0</v>
      </c>
      <c r="BQ47" s="1">
        <v>0</v>
      </c>
      <c r="BR47" s="1">
        <v>1</v>
      </c>
      <c r="BS47" s="1">
        <v>0</v>
      </c>
      <c r="BT47" s="1">
        <v>0</v>
      </c>
      <c r="BU47" s="1">
        <v>0</v>
      </c>
      <c r="BV47" s="1">
        <v>0</v>
      </c>
      <c r="BW47" s="1">
        <v>0</v>
      </c>
      <c r="BX47" s="1">
        <v>0</v>
      </c>
      <c r="BY47" s="1">
        <v>0</v>
      </c>
      <c r="BZ47" s="1">
        <v>0</v>
      </c>
      <c r="CA47" s="1">
        <v>0</v>
      </c>
      <c r="CC47" s="1" t="s">
        <v>1155</v>
      </c>
      <c r="DQ47" s="1" t="s">
        <v>1164</v>
      </c>
      <c r="DR47" s="2">
        <v>0</v>
      </c>
      <c r="DS47" s="2">
        <v>0</v>
      </c>
      <c r="DT47" s="2">
        <v>0</v>
      </c>
      <c r="DU47" s="2">
        <v>0</v>
      </c>
      <c r="DV47" s="2">
        <v>1</v>
      </c>
      <c r="DX47" s="1" t="s">
        <v>1164</v>
      </c>
      <c r="DY47" s="2">
        <v>0</v>
      </c>
      <c r="DZ47" s="2">
        <v>0</v>
      </c>
      <c r="EA47" s="2">
        <v>0</v>
      </c>
      <c r="EB47" s="2">
        <v>0</v>
      </c>
      <c r="EC47" s="2">
        <v>0</v>
      </c>
      <c r="ED47" s="2">
        <v>0</v>
      </c>
      <c r="EE47" s="2">
        <v>0</v>
      </c>
      <c r="EF47" s="2">
        <v>0</v>
      </c>
      <c r="EG47" s="2">
        <v>0</v>
      </c>
      <c r="EH47" s="2">
        <v>1</v>
      </c>
      <c r="EI47" s="2">
        <v>0</v>
      </c>
      <c r="EJ47" s="2">
        <v>0</v>
      </c>
      <c r="EK47" s="2">
        <v>0</v>
      </c>
      <c r="EM47" s="1" t="s">
        <v>2478</v>
      </c>
      <c r="EN47" s="2">
        <v>0</v>
      </c>
      <c r="EO47" s="2">
        <v>0</v>
      </c>
      <c r="EP47" s="2">
        <v>0</v>
      </c>
      <c r="EQ47" s="2">
        <v>0</v>
      </c>
      <c r="ER47" s="2">
        <v>0</v>
      </c>
      <c r="ES47" s="2">
        <v>0</v>
      </c>
      <c r="ET47" s="2">
        <v>0</v>
      </c>
      <c r="EU47" s="2">
        <v>0</v>
      </c>
      <c r="EV47" s="2">
        <v>1</v>
      </c>
      <c r="EW47" s="2">
        <v>0</v>
      </c>
      <c r="EX47" s="2">
        <v>0</v>
      </c>
      <c r="EY47" s="2">
        <v>0</v>
      </c>
      <c r="EZ47" s="2">
        <v>0</v>
      </c>
      <c r="FB47" s="1" t="s">
        <v>1155</v>
      </c>
      <c r="GI47" s="1" t="s">
        <v>1402</v>
      </c>
      <c r="GJ47" s="2">
        <v>0</v>
      </c>
      <c r="GK47" s="2">
        <v>0</v>
      </c>
      <c r="GL47" s="2">
        <v>0</v>
      </c>
      <c r="GM47" s="2">
        <v>0</v>
      </c>
      <c r="GN47" s="2">
        <v>0</v>
      </c>
      <c r="GO47" s="2">
        <v>0</v>
      </c>
      <c r="GP47" s="2">
        <v>0</v>
      </c>
      <c r="GQ47" s="2">
        <v>1</v>
      </c>
      <c r="GR47" s="2">
        <v>0</v>
      </c>
      <c r="GS47" s="2">
        <v>0</v>
      </c>
      <c r="GT47" s="2">
        <v>0</v>
      </c>
      <c r="GU47" s="2">
        <v>0</v>
      </c>
      <c r="GV47" s="2">
        <v>0</v>
      </c>
      <c r="AVT47" s="1">
        <v>136623535</v>
      </c>
      <c r="AVU47" s="1" t="s">
        <v>2657</v>
      </c>
      <c r="AVW47" s="1">
        <v>303</v>
      </c>
    </row>
    <row r="48" spans="1:693 1268:1271" x14ac:dyDescent="0.3">
      <c r="A48" s="1" t="s">
        <v>2658</v>
      </c>
      <c r="B48" s="1" t="s">
        <v>2659</v>
      </c>
      <c r="C48" s="1" t="s">
        <v>2660</v>
      </c>
      <c r="D48" s="1" t="s">
        <v>2345</v>
      </c>
      <c r="E48" s="1">
        <v>356676102903926</v>
      </c>
      <c r="F48" s="1" t="s">
        <v>2345</v>
      </c>
      <c r="I48" s="1" t="s">
        <v>1659</v>
      </c>
      <c r="J48" s="1" t="s">
        <v>2346</v>
      </c>
      <c r="K48" s="1" t="s">
        <v>2346</v>
      </c>
      <c r="N48" s="1" t="s">
        <v>1153</v>
      </c>
      <c r="O48" s="1">
        <v>1</v>
      </c>
      <c r="P48" s="1">
        <v>0</v>
      </c>
      <c r="Q48" s="1">
        <v>0</v>
      </c>
      <c r="R48" s="1">
        <v>0</v>
      </c>
      <c r="S48" s="1">
        <v>0</v>
      </c>
      <c r="U48" s="1" t="s">
        <v>1840</v>
      </c>
      <c r="W48" s="1" t="s">
        <v>1156</v>
      </c>
      <c r="X48" s="1" t="s">
        <v>1155</v>
      </c>
      <c r="AB48" s="1" t="s">
        <v>2661</v>
      </c>
      <c r="AC48" s="1">
        <v>0</v>
      </c>
      <c r="AD48" s="1">
        <v>0</v>
      </c>
      <c r="AE48" s="1">
        <v>0</v>
      </c>
      <c r="AF48" s="1">
        <v>0</v>
      </c>
      <c r="AG48" s="1">
        <v>0</v>
      </c>
      <c r="AH48" s="1">
        <v>1</v>
      </c>
      <c r="AI48" s="1">
        <v>0</v>
      </c>
      <c r="AJ48" s="1">
        <v>0</v>
      </c>
      <c r="AK48" s="1">
        <v>0</v>
      </c>
      <c r="AM48" s="1" t="s">
        <v>1709</v>
      </c>
      <c r="BO48" s="1" t="s">
        <v>1158</v>
      </c>
      <c r="BP48" s="1">
        <v>0</v>
      </c>
      <c r="BQ48" s="1">
        <v>0</v>
      </c>
      <c r="BR48" s="1">
        <v>0</v>
      </c>
      <c r="BS48" s="1">
        <v>0</v>
      </c>
      <c r="BT48" s="1">
        <v>0</v>
      </c>
      <c r="BU48" s="1">
        <v>1</v>
      </c>
      <c r="BV48" s="1">
        <v>0</v>
      </c>
      <c r="BW48" s="1">
        <v>0</v>
      </c>
      <c r="BX48" s="1">
        <v>0</v>
      </c>
      <c r="BY48" s="1">
        <v>0</v>
      </c>
      <c r="BZ48" s="1">
        <v>0</v>
      </c>
      <c r="CA48" s="1">
        <v>0</v>
      </c>
      <c r="FB48" s="1" t="s">
        <v>1155</v>
      </c>
      <c r="GI48" s="1" t="s">
        <v>2370</v>
      </c>
      <c r="GJ48" s="2">
        <v>0</v>
      </c>
      <c r="GK48" s="2">
        <v>0</v>
      </c>
      <c r="GL48" s="2">
        <v>0</v>
      </c>
      <c r="GM48" s="2">
        <v>0</v>
      </c>
      <c r="GN48" s="2">
        <v>0</v>
      </c>
      <c r="GO48" s="2">
        <v>0</v>
      </c>
      <c r="GP48" s="2">
        <v>1</v>
      </c>
      <c r="GQ48" s="2">
        <v>0</v>
      </c>
      <c r="GR48" s="2">
        <v>0</v>
      </c>
      <c r="GS48" s="2">
        <v>0</v>
      </c>
      <c r="GT48" s="2">
        <v>0</v>
      </c>
      <c r="GU48" s="2">
        <v>0</v>
      </c>
      <c r="GV48" s="2">
        <v>0</v>
      </c>
      <c r="AVT48" s="1">
        <v>136623570</v>
      </c>
      <c r="AVU48" s="1" t="s">
        <v>2662</v>
      </c>
      <c r="AVW48" s="1">
        <v>304</v>
      </c>
    </row>
    <row r="49" spans="1:981 1268:1271" x14ac:dyDescent="0.3">
      <c r="A49" s="1" t="s">
        <v>2663</v>
      </c>
      <c r="B49" s="1" t="s">
        <v>2664</v>
      </c>
      <c r="C49" s="1" t="s">
        <v>2665</v>
      </c>
      <c r="D49" s="1" t="s">
        <v>2442</v>
      </c>
      <c r="E49" s="1">
        <v>356676102908909</v>
      </c>
      <c r="F49" s="1" t="s">
        <v>2442</v>
      </c>
      <c r="I49" s="1" t="s">
        <v>1659</v>
      </c>
      <c r="J49" s="1" t="s">
        <v>2346</v>
      </c>
      <c r="K49" s="1" t="s">
        <v>2346</v>
      </c>
      <c r="N49" s="1" t="s">
        <v>1153</v>
      </c>
      <c r="O49" s="1">
        <v>1</v>
      </c>
      <c r="P49" s="1">
        <v>0</v>
      </c>
      <c r="Q49" s="1">
        <v>0</v>
      </c>
      <c r="R49" s="1">
        <v>0</v>
      </c>
      <c r="S49" s="1">
        <v>0</v>
      </c>
      <c r="U49" s="1" t="s">
        <v>1840</v>
      </c>
      <c r="W49" s="1" t="s">
        <v>1156</v>
      </c>
      <c r="X49" s="1" t="s">
        <v>1156</v>
      </c>
      <c r="AN49" s="1" t="s">
        <v>1182</v>
      </c>
      <c r="AO49" s="1">
        <v>108</v>
      </c>
      <c r="AP49" s="1" t="s">
        <v>2559</v>
      </c>
      <c r="AR49" s="1" t="s">
        <v>1801</v>
      </c>
      <c r="AS49" s="1" t="s">
        <v>1841</v>
      </c>
      <c r="AT49" s="1" t="s">
        <v>1155</v>
      </c>
      <c r="BO49" s="1" t="s">
        <v>1158</v>
      </c>
      <c r="BP49" s="1">
        <v>0</v>
      </c>
      <c r="BQ49" s="1">
        <v>0</v>
      </c>
      <c r="BR49" s="1">
        <v>0</v>
      </c>
      <c r="BS49" s="1">
        <v>0</v>
      </c>
      <c r="BT49" s="1">
        <v>0</v>
      </c>
      <c r="BU49" s="1">
        <v>1</v>
      </c>
      <c r="BV49" s="1">
        <v>0</v>
      </c>
      <c r="BW49" s="1">
        <v>0</v>
      </c>
      <c r="BX49" s="1">
        <v>0</v>
      </c>
      <c r="BY49" s="1">
        <v>0</v>
      </c>
      <c r="BZ49" s="1">
        <v>0</v>
      </c>
      <c r="CA49" s="1">
        <v>0</v>
      </c>
      <c r="CC49" s="1" t="s">
        <v>1155</v>
      </c>
      <c r="DQ49" s="1" t="s">
        <v>1164</v>
      </c>
      <c r="DR49" s="2">
        <v>0</v>
      </c>
      <c r="DS49" s="2">
        <v>0</v>
      </c>
      <c r="DT49" s="2">
        <v>0</v>
      </c>
      <c r="DU49" s="2">
        <v>0</v>
      </c>
      <c r="DV49" s="2">
        <v>1</v>
      </c>
      <c r="DX49" s="1" t="s">
        <v>2666</v>
      </c>
      <c r="DY49" s="2">
        <v>0</v>
      </c>
      <c r="DZ49" s="2">
        <v>1</v>
      </c>
      <c r="EA49" s="2">
        <v>1</v>
      </c>
      <c r="EB49" s="2">
        <v>0</v>
      </c>
      <c r="EC49" s="2">
        <v>0</v>
      </c>
      <c r="ED49" s="2">
        <v>0</v>
      </c>
      <c r="EE49" s="2">
        <v>0</v>
      </c>
      <c r="EF49" s="2">
        <v>0</v>
      </c>
      <c r="EG49" s="2">
        <v>1</v>
      </c>
      <c r="EH49" s="2">
        <v>0</v>
      </c>
      <c r="EI49" s="2">
        <v>0</v>
      </c>
      <c r="EJ49" s="2">
        <v>0</v>
      </c>
      <c r="EK49" s="2">
        <v>0</v>
      </c>
      <c r="EM49" s="1" t="s">
        <v>1194</v>
      </c>
      <c r="EN49" s="2">
        <v>0</v>
      </c>
      <c r="EO49" s="2">
        <v>0</v>
      </c>
      <c r="EP49" s="2">
        <v>0</v>
      </c>
      <c r="EQ49" s="2">
        <v>0</v>
      </c>
      <c r="ER49" s="2">
        <v>1</v>
      </c>
      <c r="ES49" s="2">
        <v>0</v>
      </c>
      <c r="ET49" s="2">
        <v>0</v>
      </c>
      <c r="EU49" s="2">
        <v>0</v>
      </c>
      <c r="EV49" s="2">
        <v>0</v>
      </c>
      <c r="EW49" s="2">
        <v>0</v>
      </c>
      <c r="EX49" s="2">
        <v>0</v>
      </c>
      <c r="EY49" s="2">
        <v>0</v>
      </c>
      <c r="EZ49" s="2">
        <v>0</v>
      </c>
      <c r="FB49" s="1" t="s">
        <v>1155</v>
      </c>
      <c r="GI49" s="1" t="s">
        <v>2667</v>
      </c>
      <c r="GJ49" s="2">
        <v>0</v>
      </c>
      <c r="GK49" s="2">
        <v>0</v>
      </c>
      <c r="GL49" s="2">
        <v>1</v>
      </c>
      <c r="GM49" s="2">
        <v>0</v>
      </c>
      <c r="GN49" s="2">
        <v>0</v>
      </c>
      <c r="GO49" s="2">
        <v>1</v>
      </c>
      <c r="GP49" s="2">
        <v>0</v>
      </c>
      <c r="GQ49" s="2">
        <v>1</v>
      </c>
      <c r="GR49" s="2">
        <v>1</v>
      </c>
      <c r="GS49" s="2">
        <v>0</v>
      </c>
      <c r="GT49" s="2">
        <v>0</v>
      </c>
      <c r="GU49" s="2">
        <v>0</v>
      </c>
      <c r="GV49" s="2">
        <v>1</v>
      </c>
      <c r="GW49" s="1" t="s">
        <v>2668</v>
      </c>
      <c r="AVT49" s="1">
        <v>136623594</v>
      </c>
      <c r="AVU49" s="1" t="s">
        <v>2669</v>
      </c>
      <c r="AVW49" s="1">
        <v>305</v>
      </c>
    </row>
    <row r="50" spans="1:981 1268:1271" x14ac:dyDescent="0.3">
      <c r="A50" s="1" t="s">
        <v>2670</v>
      </c>
      <c r="B50" s="1" t="s">
        <v>2671</v>
      </c>
      <c r="C50" s="1" t="s">
        <v>2672</v>
      </c>
      <c r="D50" s="1" t="s">
        <v>2442</v>
      </c>
      <c r="E50" s="1">
        <v>356676101957824</v>
      </c>
      <c r="F50" s="1" t="s">
        <v>2442</v>
      </c>
      <c r="I50" s="1" t="s">
        <v>1659</v>
      </c>
      <c r="J50" s="1" t="s">
        <v>2346</v>
      </c>
      <c r="K50" s="1" t="s">
        <v>2346</v>
      </c>
      <c r="N50" s="1" t="s">
        <v>1153</v>
      </c>
      <c r="O50" s="1">
        <v>1</v>
      </c>
      <c r="P50" s="1">
        <v>0</v>
      </c>
      <c r="Q50" s="1">
        <v>0</v>
      </c>
      <c r="R50" s="1">
        <v>0</v>
      </c>
      <c r="S50" s="1">
        <v>0</v>
      </c>
      <c r="U50" s="1" t="s">
        <v>2607</v>
      </c>
      <c r="W50" s="1" t="s">
        <v>1156</v>
      </c>
      <c r="X50" s="1" t="s">
        <v>1156</v>
      </c>
      <c r="AN50" s="1" t="s">
        <v>1155</v>
      </c>
      <c r="AO50" s="1">
        <v>136</v>
      </c>
      <c r="AP50" s="1" t="s">
        <v>2673</v>
      </c>
      <c r="AR50" s="1" t="s">
        <v>1801</v>
      </c>
      <c r="AS50" s="1" t="s">
        <v>1833</v>
      </c>
      <c r="AT50" s="1" t="s">
        <v>1156</v>
      </c>
      <c r="AU50" s="1" t="s">
        <v>1186</v>
      </c>
      <c r="AV50" s="1" t="s">
        <v>2261</v>
      </c>
      <c r="AW50" s="1">
        <v>1</v>
      </c>
      <c r="AX50" s="1">
        <v>0</v>
      </c>
      <c r="AY50" s="1">
        <v>0</v>
      </c>
      <c r="AZ50" s="1">
        <v>0</v>
      </c>
      <c r="BA50" s="1">
        <v>0</v>
      </c>
      <c r="BB50" s="1">
        <v>1</v>
      </c>
      <c r="BC50" s="1">
        <v>0</v>
      </c>
      <c r="BD50" s="1">
        <v>0</v>
      </c>
      <c r="BO50" s="1" t="s">
        <v>1158</v>
      </c>
      <c r="BP50" s="1">
        <v>0</v>
      </c>
      <c r="BQ50" s="1">
        <v>0</v>
      </c>
      <c r="BR50" s="1">
        <v>0</v>
      </c>
      <c r="BS50" s="1">
        <v>0</v>
      </c>
      <c r="BT50" s="1">
        <v>0</v>
      </c>
      <c r="BU50" s="1">
        <v>1</v>
      </c>
      <c r="BV50" s="1">
        <v>0</v>
      </c>
      <c r="BW50" s="1">
        <v>0</v>
      </c>
      <c r="BX50" s="1">
        <v>0</v>
      </c>
      <c r="BY50" s="1">
        <v>0</v>
      </c>
      <c r="BZ50" s="1">
        <v>0</v>
      </c>
      <c r="CA50" s="1">
        <v>0</v>
      </c>
      <c r="CC50" s="1" t="s">
        <v>1155</v>
      </c>
      <c r="DQ50" s="1" t="s">
        <v>2197</v>
      </c>
      <c r="DR50" s="2">
        <v>1</v>
      </c>
      <c r="DS50" s="2">
        <v>1</v>
      </c>
      <c r="DT50" s="2">
        <v>0</v>
      </c>
      <c r="DU50" s="2">
        <v>0</v>
      </c>
      <c r="DV50" s="2">
        <v>0</v>
      </c>
      <c r="DX50" s="1" t="s">
        <v>2147</v>
      </c>
      <c r="DY50" s="2">
        <v>0</v>
      </c>
      <c r="DZ50" s="2">
        <v>0</v>
      </c>
      <c r="EA50" s="2">
        <v>0</v>
      </c>
      <c r="EB50" s="2">
        <v>0</v>
      </c>
      <c r="EC50" s="2">
        <v>0</v>
      </c>
      <c r="ED50" s="2">
        <v>0</v>
      </c>
      <c r="EE50" s="2">
        <v>0</v>
      </c>
      <c r="EF50" s="2">
        <v>1</v>
      </c>
      <c r="EG50" s="2">
        <v>0</v>
      </c>
      <c r="EH50" s="2">
        <v>0</v>
      </c>
      <c r="EI50" s="2">
        <v>0</v>
      </c>
      <c r="EJ50" s="2">
        <v>0</v>
      </c>
      <c r="EK50" s="2">
        <v>0</v>
      </c>
      <c r="EM50" s="1" t="s">
        <v>1194</v>
      </c>
      <c r="EN50" s="2">
        <v>0</v>
      </c>
      <c r="EO50" s="2">
        <v>0</v>
      </c>
      <c r="EP50" s="2">
        <v>0</v>
      </c>
      <c r="EQ50" s="2">
        <v>0</v>
      </c>
      <c r="ER50" s="2">
        <v>1</v>
      </c>
      <c r="ES50" s="2">
        <v>0</v>
      </c>
      <c r="ET50" s="2">
        <v>0</v>
      </c>
      <c r="EU50" s="2">
        <v>0</v>
      </c>
      <c r="EV50" s="2">
        <v>0</v>
      </c>
      <c r="EW50" s="2">
        <v>0</v>
      </c>
      <c r="EX50" s="2">
        <v>0</v>
      </c>
      <c r="EY50" s="2">
        <v>0</v>
      </c>
      <c r="EZ50" s="2">
        <v>0</v>
      </c>
      <c r="FB50" s="1" t="s">
        <v>1156</v>
      </c>
      <c r="FC50" s="1" t="s">
        <v>1158</v>
      </c>
      <c r="FD50" s="2">
        <v>0</v>
      </c>
      <c r="FE50" s="2">
        <v>0</v>
      </c>
      <c r="FF50" s="2">
        <v>0</v>
      </c>
      <c r="FG50" s="2">
        <v>0</v>
      </c>
      <c r="FH50" s="2">
        <v>1</v>
      </c>
      <c r="FI50" s="2">
        <v>0</v>
      </c>
      <c r="FJ50" s="2">
        <v>0</v>
      </c>
      <c r="FL50" s="1" t="s">
        <v>2674</v>
      </c>
      <c r="FM50" s="2">
        <v>0</v>
      </c>
      <c r="FN50" s="2">
        <v>1</v>
      </c>
      <c r="FO50" s="2">
        <v>1</v>
      </c>
      <c r="FP50" s="2">
        <v>0</v>
      </c>
      <c r="FQ50" s="2">
        <v>0</v>
      </c>
      <c r="FR50" s="2">
        <v>1</v>
      </c>
      <c r="FS50" s="2">
        <v>0</v>
      </c>
      <c r="FT50" s="2">
        <v>0</v>
      </c>
      <c r="FU50" s="2">
        <v>0</v>
      </c>
      <c r="FV50" s="2">
        <v>0</v>
      </c>
      <c r="FW50" s="2">
        <v>0</v>
      </c>
      <c r="FX50" s="2">
        <v>0</v>
      </c>
      <c r="FY50" s="2">
        <v>0</v>
      </c>
      <c r="GA50" s="1" t="s">
        <v>1156</v>
      </c>
      <c r="GI50" s="1" t="s">
        <v>2675</v>
      </c>
      <c r="GJ50" s="2">
        <v>0</v>
      </c>
      <c r="GK50" s="2">
        <v>0</v>
      </c>
      <c r="GL50" s="2">
        <v>1</v>
      </c>
      <c r="GM50" s="2">
        <v>0</v>
      </c>
      <c r="GN50" s="2">
        <v>0</v>
      </c>
      <c r="GO50" s="2">
        <v>0</v>
      </c>
      <c r="GP50" s="2">
        <v>1</v>
      </c>
      <c r="GQ50" s="2">
        <v>0</v>
      </c>
      <c r="GR50" s="2">
        <v>0</v>
      </c>
      <c r="GS50" s="2">
        <v>0</v>
      </c>
      <c r="GT50" s="2">
        <v>1</v>
      </c>
      <c r="GU50" s="2">
        <v>0</v>
      </c>
      <c r="GV50" s="2">
        <v>0</v>
      </c>
      <c r="AVT50" s="1">
        <v>136623606</v>
      </c>
      <c r="AVU50" s="1" t="s">
        <v>2676</v>
      </c>
      <c r="AVW50" s="1">
        <v>306</v>
      </c>
    </row>
    <row r="51" spans="1:981 1268:1271" x14ac:dyDescent="0.3">
      <c r="A51" s="1" t="s">
        <v>2677</v>
      </c>
      <c r="B51" s="1" t="s">
        <v>2678</v>
      </c>
      <c r="C51" s="1" t="s">
        <v>2679</v>
      </c>
      <c r="D51" s="1" t="s">
        <v>2345</v>
      </c>
      <c r="E51" s="1">
        <v>356676102903926</v>
      </c>
      <c r="F51" s="1" t="s">
        <v>2345</v>
      </c>
      <c r="I51" s="1" t="s">
        <v>1659</v>
      </c>
      <c r="J51" s="1" t="s">
        <v>2346</v>
      </c>
      <c r="K51" s="1" t="s">
        <v>2346</v>
      </c>
      <c r="N51" s="1" t="s">
        <v>1153</v>
      </c>
      <c r="O51" s="1">
        <v>1</v>
      </c>
      <c r="P51" s="1">
        <v>0</v>
      </c>
      <c r="Q51" s="1">
        <v>0</v>
      </c>
      <c r="R51" s="1">
        <v>0</v>
      </c>
      <c r="S51" s="1">
        <v>0</v>
      </c>
      <c r="U51" s="1" t="s">
        <v>1840</v>
      </c>
      <c r="W51" s="1" t="s">
        <v>1156</v>
      </c>
      <c r="X51" s="1" t="s">
        <v>1156</v>
      </c>
      <c r="AN51" s="1" t="s">
        <v>1182</v>
      </c>
      <c r="AO51" s="1">
        <v>150</v>
      </c>
      <c r="AP51" s="1" t="s">
        <v>2145</v>
      </c>
      <c r="AR51" s="1" t="s">
        <v>1801</v>
      </c>
      <c r="AS51" s="1" t="s">
        <v>2168</v>
      </c>
      <c r="AT51" s="1" t="s">
        <v>1156</v>
      </c>
      <c r="AU51" s="1" t="s">
        <v>1157</v>
      </c>
      <c r="AV51" s="1" t="s">
        <v>2484</v>
      </c>
      <c r="AW51" s="1">
        <v>0</v>
      </c>
      <c r="AX51" s="1">
        <v>0</v>
      </c>
      <c r="AY51" s="1">
        <v>1</v>
      </c>
      <c r="AZ51" s="1">
        <v>0</v>
      </c>
      <c r="BA51" s="1">
        <v>0</v>
      </c>
      <c r="BB51" s="1">
        <v>0</v>
      </c>
      <c r="BC51" s="1">
        <v>0</v>
      </c>
      <c r="BD51" s="1">
        <v>0</v>
      </c>
      <c r="BO51" s="1" t="s">
        <v>2680</v>
      </c>
      <c r="BP51" s="1">
        <v>0</v>
      </c>
      <c r="BQ51" s="1">
        <v>0</v>
      </c>
      <c r="BR51" s="1">
        <v>0</v>
      </c>
      <c r="BS51" s="1">
        <v>1</v>
      </c>
      <c r="BT51" s="1">
        <v>0</v>
      </c>
      <c r="BU51" s="1">
        <v>0</v>
      </c>
      <c r="BV51" s="1">
        <v>0</v>
      </c>
      <c r="BW51" s="1">
        <v>0</v>
      </c>
      <c r="BX51" s="1">
        <v>0</v>
      </c>
      <c r="BY51" s="1">
        <v>0</v>
      </c>
      <c r="BZ51" s="1">
        <v>0</v>
      </c>
      <c r="CA51" s="1">
        <v>0</v>
      </c>
      <c r="CC51" s="1" t="s">
        <v>1155</v>
      </c>
      <c r="DQ51" s="1" t="s">
        <v>1164</v>
      </c>
      <c r="DR51" s="2">
        <v>0</v>
      </c>
      <c r="DS51" s="2">
        <v>0</v>
      </c>
      <c r="DT51" s="2">
        <v>0</v>
      </c>
      <c r="DU51" s="2">
        <v>0</v>
      </c>
      <c r="DV51" s="2">
        <v>1</v>
      </c>
      <c r="DX51" s="1" t="s">
        <v>2515</v>
      </c>
      <c r="DY51" s="2">
        <v>0</v>
      </c>
      <c r="DZ51" s="2">
        <v>0</v>
      </c>
      <c r="EA51" s="2">
        <v>1</v>
      </c>
      <c r="EB51" s="2">
        <v>0</v>
      </c>
      <c r="EC51" s="2">
        <v>0</v>
      </c>
      <c r="ED51" s="2">
        <v>0</v>
      </c>
      <c r="EE51" s="2">
        <v>0</v>
      </c>
      <c r="EF51" s="2">
        <v>0</v>
      </c>
      <c r="EG51" s="2">
        <v>0</v>
      </c>
      <c r="EH51" s="2">
        <v>0</v>
      </c>
      <c r="EI51" s="2">
        <v>0</v>
      </c>
      <c r="EJ51" s="2">
        <v>0</v>
      </c>
      <c r="EK51" s="2">
        <v>1</v>
      </c>
      <c r="EM51" s="1" t="s">
        <v>1984</v>
      </c>
      <c r="EN51" s="2">
        <v>0</v>
      </c>
      <c r="EO51" s="2">
        <v>0</v>
      </c>
      <c r="EP51" s="2">
        <v>0</v>
      </c>
      <c r="EQ51" s="2">
        <v>0</v>
      </c>
      <c r="ER51" s="2">
        <v>0</v>
      </c>
      <c r="ES51" s="2">
        <v>0</v>
      </c>
      <c r="ET51" s="2">
        <v>1</v>
      </c>
      <c r="EU51" s="2">
        <v>0</v>
      </c>
      <c r="EV51" s="2">
        <v>0</v>
      </c>
      <c r="EW51" s="2">
        <v>0</v>
      </c>
      <c r="EX51" s="2">
        <v>0</v>
      </c>
      <c r="EY51" s="2">
        <v>0</v>
      </c>
      <c r="EZ51" s="2">
        <v>0</v>
      </c>
      <c r="FB51" s="1" t="s">
        <v>1155</v>
      </c>
      <c r="GI51" s="1" t="s">
        <v>2370</v>
      </c>
      <c r="GJ51" s="2">
        <v>0</v>
      </c>
      <c r="GK51" s="2">
        <v>0</v>
      </c>
      <c r="GL51" s="2">
        <v>0</v>
      </c>
      <c r="GM51" s="2">
        <v>0</v>
      </c>
      <c r="GN51" s="2">
        <v>0</v>
      </c>
      <c r="GO51" s="2">
        <v>0</v>
      </c>
      <c r="GP51" s="2">
        <v>1</v>
      </c>
      <c r="GQ51" s="2">
        <v>0</v>
      </c>
      <c r="GR51" s="2">
        <v>0</v>
      </c>
      <c r="GS51" s="2">
        <v>0</v>
      </c>
      <c r="GT51" s="2">
        <v>0</v>
      </c>
      <c r="GU51" s="2">
        <v>0</v>
      </c>
      <c r="GV51" s="2">
        <v>0</v>
      </c>
      <c r="AVT51" s="1">
        <v>136623626</v>
      </c>
      <c r="AVU51" s="1" t="s">
        <v>2681</v>
      </c>
      <c r="AVW51" s="1">
        <v>307</v>
      </c>
    </row>
    <row r="52" spans="1:981 1268:1271" x14ac:dyDescent="0.3">
      <c r="A52" s="1" t="s">
        <v>2682</v>
      </c>
      <c r="B52" s="1" t="s">
        <v>2683</v>
      </c>
      <c r="C52" s="1" t="s">
        <v>2684</v>
      </c>
      <c r="D52" s="1" t="s">
        <v>2442</v>
      </c>
      <c r="E52" s="1">
        <v>356676102908909</v>
      </c>
      <c r="F52" s="1" t="s">
        <v>2442</v>
      </c>
      <c r="I52" s="1" t="s">
        <v>1659</v>
      </c>
      <c r="J52" s="1" t="s">
        <v>2346</v>
      </c>
      <c r="K52" s="1" t="s">
        <v>2346</v>
      </c>
      <c r="N52" s="1" t="s">
        <v>1153</v>
      </c>
      <c r="O52" s="1">
        <v>1</v>
      </c>
      <c r="P52" s="1">
        <v>0</v>
      </c>
      <c r="Q52" s="1">
        <v>0</v>
      </c>
      <c r="R52" s="1">
        <v>0</v>
      </c>
      <c r="S52" s="1">
        <v>0</v>
      </c>
      <c r="U52" s="1" t="s">
        <v>2607</v>
      </c>
      <c r="W52" s="1" t="s">
        <v>1156</v>
      </c>
      <c r="X52" s="1" t="s">
        <v>1156</v>
      </c>
      <c r="AN52" s="1" t="s">
        <v>1182</v>
      </c>
      <c r="AO52" s="1">
        <v>230</v>
      </c>
      <c r="AP52" s="1" t="s">
        <v>2145</v>
      </c>
      <c r="AR52" s="1" t="s">
        <v>1801</v>
      </c>
      <c r="AS52" s="1" t="s">
        <v>1833</v>
      </c>
      <c r="AT52" s="1" t="s">
        <v>1156</v>
      </c>
      <c r="AU52" s="1" t="s">
        <v>1157</v>
      </c>
      <c r="AV52" s="1" t="s">
        <v>2182</v>
      </c>
      <c r="AW52" s="1">
        <v>0</v>
      </c>
      <c r="AX52" s="1">
        <v>0</v>
      </c>
      <c r="AY52" s="1">
        <v>1</v>
      </c>
      <c r="AZ52" s="1">
        <v>1</v>
      </c>
      <c r="BA52" s="1">
        <v>0</v>
      </c>
      <c r="BB52" s="1">
        <v>0</v>
      </c>
      <c r="BC52" s="1">
        <v>0</v>
      </c>
      <c r="BD52" s="1">
        <v>0</v>
      </c>
      <c r="BO52" s="1" t="s">
        <v>1158</v>
      </c>
      <c r="BP52" s="1">
        <v>0</v>
      </c>
      <c r="BQ52" s="1">
        <v>0</v>
      </c>
      <c r="BR52" s="1">
        <v>0</v>
      </c>
      <c r="BS52" s="1">
        <v>0</v>
      </c>
      <c r="BT52" s="1">
        <v>0</v>
      </c>
      <c r="BU52" s="1">
        <v>1</v>
      </c>
      <c r="BV52" s="1">
        <v>0</v>
      </c>
      <c r="BW52" s="1">
        <v>0</v>
      </c>
      <c r="BX52" s="1">
        <v>0</v>
      </c>
      <c r="BY52" s="1">
        <v>0</v>
      </c>
      <c r="BZ52" s="1">
        <v>0</v>
      </c>
      <c r="CA52" s="1">
        <v>0</v>
      </c>
      <c r="CC52" s="1" t="s">
        <v>1155</v>
      </c>
      <c r="DQ52" s="1" t="s">
        <v>1164</v>
      </c>
      <c r="DR52" s="2">
        <v>0</v>
      </c>
      <c r="DS52" s="2">
        <v>0</v>
      </c>
      <c r="DT52" s="2">
        <v>0</v>
      </c>
      <c r="DU52" s="2">
        <v>0</v>
      </c>
      <c r="DV52" s="2">
        <v>1</v>
      </c>
      <c r="DX52" s="1" t="s">
        <v>2685</v>
      </c>
      <c r="DY52" s="2">
        <v>1</v>
      </c>
      <c r="DZ52" s="2">
        <v>0</v>
      </c>
      <c r="EA52" s="2">
        <v>0</v>
      </c>
      <c r="EB52" s="2">
        <v>0</v>
      </c>
      <c r="EC52" s="2">
        <v>0</v>
      </c>
      <c r="ED52" s="2">
        <v>0</v>
      </c>
      <c r="EE52" s="2">
        <v>0</v>
      </c>
      <c r="EF52" s="2">
        <v>0</v>
      </c>
      <c r="EG52" s="2">
        <v>1</v>
      </c>
      <c r="EH52" s="2">
        <v>0</v>
      </c>
      <c r="EI52" s="2">
        <v>0</v>
      </c>
      <c r="EJ52" s="2">
        <v>1</v>
      </c>
      <c r="EK52" s="2">
        <v>0</v>
      </c>
      <c r="EL52" s="1" t="s">
        <v>2686</v>
      </c>
      <c r="EM52" s="1" t="s">
        <v>1194</v>
      </c>
      <c r="EN52" s="2">
        <v>0</v>
      </c>
      <c r="EO52" s="2">
        <v>0</v>
      </c>
      <c r="EP52" s="2">
        <v>0</v>
      </c>
      <c r="EQ52" s="2">
        <v>0</v>
      </c>
      <c r="ER52" s="2">
        <v>1</v>
      </c>
      <c r="ES52" s="2">
        <v>0</v>
      </c>
      <c r="ET52" s="2">
        <v>0</v>
      </c>
      <c r="EU52" s="2">
        <v>0</v>
      </c>
      <c r="EV52" s="2">
        <v>0</v>
      </c>
      <c r="EW52" s="2">
        <v>0</v>
      </c>
      <c r="EX52" s="2">
        <v>0</v>
      </c>
      <c r="EY52" s="2">
        <v>0</v>
      </c>
      <c r="EZ52" s="2">
        <v>0</v>
      </c>
      <c r="FB52" s="1" t="s">
        <v>1156</v>
      </c>
      <c r="FC52" s="1" t="s">
        <v>1158</v>
      </c>
      <c r="FD52" s="2">
        <v>0</v>
      </c>
      <c r="FE52" s="2">
        <v>0</v>
      </c>
      <c r="FF52" s="2">
        <v>0</v>
      </c>
      <c r="FG52" s="2">
        <v>0</v>
      </c>
      <c r="FH52" s="2">
        <v>1</v>
      </c>
      <c r="FI52" s="2">
        <v>0</v>
      </c>
      <c r="FJ52" s="2">
        <v>0</v>
      </c>
      <c r="FL52" s="1" t="s">
        <v>2687</v>
      </c>
      <c r="FM52" s="2">
        <v>1</v>
      </c>
      <c r="FN52" s="2">
        <v>1</v>
      </c>
      <c r="FO52" s="2">
        <v>0</v>
      </c>
      <c r="FP52" s="2">
        <v>0</v>
      </c>
      <c r="FQ52" s="2">
        <v>0</v>
      </c>
      <c r="FR52" s="2">
        <v>0</v>
      </c>
      <c r="FS52" s="2">
        <v>0</v>
      </c>
      <c r="FT52" s="2">
        <v>0</v>
      </c>
      <c r="FU52" s="2">
        <v>0</v>
      </c>
      <c r="FV52" s="2">
        <v>0</v>
      </c>
      <c r="FW52" s="2">
        <v>0</v>
      </c>
      <c r="FX52" s="2">
        <v>0</v>
      </c>
      <c r="FY52" s="2">
        <v>0</v>
      </c>
      <c r="GA52" s="1" t="s">
        <v>1156</v>
      </c>
      <c r="GI52" s="1" t="s">
        <v>1154</v>
      </c>
      <c r="GJ52" s="2">
        <v>0</v>
      </c>
      <c r="GK52" s="2">
        <v>0</v>
      </c>
      <c r="GL52" s="2">
        <v>0</v>
      </c>
      <c r="GM52" s="2">
        <v>0</v>
      </c>
      <c r="GN52" s="2">
        <v>0</v>
      </c>
      <c r="GO52" s="2">
        <v>0</v>
      </c>
      <c r="GP52" s="2">
        <v>0</v>
      </c>
      <c r="GQ52" s="2">
        <v>0</v>
      </c>
      <c r="GR52" s="2">
        <v>0</v>
      </c>
      <c r="GS52" s="2">
        <v>0</v>
      </c>
      <c r="GT52" s="2">
        <v>0</v>
      </c>
      <c r="GU52" s="2">
        <v>0</v>
      </c>
      <c r="GV52" s="2">
        <v>1</v>
      </c>
      <c r="GW52" s="1" t="s">
        <v>2760</v>
      </c>
      <c r="AVT52" s="1">
        <v>136623682</v>
      </c>
      <c r="AVU52" s="1" t="s">
        <v>2688</v>
      </c>
      <c r="AVW52" s="1">
        <v>308</v>
      </c>
    </row>
    <row r="53" spans="1:981 1268:1271" x14ac:dyDescent="0.3">
      <c r="A53" s="1" t="s">
        <v>2689</v>
      </c>
      <c r="B53" s="1" t="s">
        <v>2690</v>
      </c>
      <c r="C53" s="1" t="s">
        <v>2691</v>
      </c>
      <c r="D53" s="1" t="s">
        <v>2345</v>
      </c>
      <c r="E53" s="1">
        <v>356676102903926</v>
      </c>
      <c r="F53" s="1" t="s">
        <v>2345</v>
      </c>
      <c r="I53" s="1" t="s">
        <v>1659</v>
      </c>
      <c r="J53" s="1" t="s">
        <v>2346</v>
      </c>
      <c r="K53" s="1" t="s">
        <v>2346</v>
      </c>
      <c r="N53" s="1" t="s">
        <v>1153</v>
      </c>
      <c r="O53" s="1">
        <v>1</v>
      </c>
      <c r="P53" s="1">
        <v>0</v>
      </c>
      <c r="Q53" s="1">
        <v>0</v>
      </c>
      <c r="R53" s="1">
        <v>0</v>
      </c>
      <c r="S53" s="1">
        <v>0</v>
      </c>
      <c r="U53" s="1" t="s">
        <v>1840</v>
      </c>
      <c r="W53" s="1" t="s">
        <v>1156</v>
      </c>
      <c r="X53" s="1" t="s">
        <v>1156</v>
      </c>
      <c r="AN53" s="1" t="s">
        <v>1182</v>
      </c>
      <c r="AO53" s="1">
        <v>150</v>
      </c>
      <c r="AP53" s="1" t="s">
        <v>2145</v>
      </c>
      <c r="AR53" s="1" t="s">
        <v>1801</v>
      </c>
      <c r="AS53" s="1" t="s">
        <v>1164</v>
      </c>
      <c r="AT53" s="1" t="s">
        <v>1156</v>
      </c>
      <c r="AU53" s="1" t="s">
        <v>1186</v>
      </c>
      <c r="AV53" s="1" t="s">
        <v>2484</v>
      </c>
      <c r="AW53" s="1">
        <v>0</v>
      </c>
      <c r="AX53" s="1">
        <v>0</v>
      </c>
      <c r="AY53" s="1">
        <v>1</v>
      </c>
      <c r="AZ53" s="1">
        <v>0</v>
      </c>
      <c r="BA53" s="1">
        <v>0</v>
      </c>
      <c r="BB53" s="1">
        <v>0</v>
      </c>
      <c r="BC53" s="1">
        <v>0</v>
      </c>
      <c r="BD53" s="1">
        <v>0</v>
      </c>
      <c r="BO53" s="1" t="s">
        <v>1158</v>
      </c>
      <c r="BP53" s="1">
        <v>0</v>
      </c>
      <c r="BQ53" s="1">
        <v>0</v>
      </c>
      <c r="BR53" s="1">
        <v>0</v>
      </c>
      <c r="BS53" s="1">
        <v>0</v>
      </c>
      <c r="BT53" s="1">
        <v>0</v>
      </c>
      <c r="BU53" s="1">
        <v>1</v>
      </c>
      <c r="BV53" s="1">
        <v>0</v>
      </c>
      <c r="BW53" s="1">
        <v>0</v>
      </c>
      <c r="BX53" s="1">
        <v>0</v>
      </c>
      <c r="BY53" s="1">
        <v>0</v>
      </c>
      <c r="BZ53" s="1">
        <v>0</v>
      </c>
      <c r="CA53" s="1">
        <v>0</v>
      </c>
      <c r="CC53" s="1" t="s">
        <v>1155</v>
      </c>
      <c r="DQ53" s="1" t="s">
        <v>1397</v>
      </c>
      <c r="DR53" s="2">
        <v>1</v>
      </c>
      <c r="DS53" s="2">
        <v>0</v>
      </c>
      <c r="DT53" s="2">
        <v>0</v>
      </c>
      <c r="DU53" s="2">
        <v>0</v>
      </c>
      <c r="DV53" s="2">
        <v>0</v>
      </c>
      <c r="DX53" s="1" t="s">
        <v>1843</v>
      </c>
      <c r="DY53" s="2">
        <v>0</v>
      </c>
      <c r="DZ53" s="2">
        <v>0</v>
      </c>
      <c r="EA53" s="2">
        <v>0</v>
      </c>
      <c r="EB53" s="2">
        <v>0</v>
      </c>
      <c r="EC53" s="2">
        <v>0</v>
      </c>
      <c r="ED53" s="2">
        <v>0</v>
      </c>
      <c r="EE53" s="2">
        <v>0</v>
      </c>
      <c r="EF53" s="2">
        <v>0</v>
      </c>
      <c r="EG53" s="2">
        <v>0</v>
      </c>
      <c r="EH53" s="2">
        <v>0</v>
      </c>
      <c r="EI53" s="2">
        <v>0</v>
      </c>
      <c r="EJ53" s="2">
        <v>0</v>
      </c>
      <c r="EK53" s="2">
        <v>1</v>
      </c>
      <c r="EM53" s="1" t="s">
        <v>1194</v>
      </c>
      <c r="EN53" s="2">
        <v>0</v>
      </c>
      <c r="EO53" s="2">
        <v>0</v>
      </c>
      <c r="EP53" s="2">
        <v>0</v>
      </c>
      <c r="EQ53" s="2">
        <v>0</v>
      </c>
      <c r="ER53" s="2">
        <v>1</v>
      </c>
      <c r="ES53" s="2">
        <v>0</v>
      </c>
      <c r="ET53" s="2">
        <v>0</v>
      </c>
      <c r="EU53" s="2">
        <v>0</v>
      </c>
      <c r="EV53" s="2">
        <v>0</v>
      </c>
      <c r="EW53" s="2">
        <v>0</v>
      </c>
      <c r="EX53" s="2">
        <v>0</v>
      </c>
      <c r="EY53" s="2">
        <v>0</v>
      </c>
      <c r="EZ53" s="2">
        <v>0</v>
      </c>
      <c r="FB53" s="1" t="s">
        <v>1156</v>
      </c>
      <c r="FC53" s="1" t="s">
        <v>1158</v>
      </c>
      <c r="FD53" s="2">
        <v>0</v>
      </c>
      <c r="FE53" s="2">
        <v>0</v>
      </c>
      <c r="FF53" s="2">
        <v>0</v>
      </c>
      <c r="FG53" s="2">
        <v>0</v>
      </c>
      <c r="FH53" s="2">
        <v>1</v>
      </c>
      <c r="FI53" s="2">
        <v>0</v>
      </c>
      <c r="FJ53" s="2">
        <v>0</v>
      </c>
      <c r="FL53" s="1" t="s">
        <v>2580</v>
      </c>
      <c r="FM53" s="2">
        <v>0</v>
      </c>
      <c r="FN53" s="2">
        <v>0</v>
      </c>
      <c r="FO53" s="2">
        <v>0</v>
      </c>
      <c r="FP53" s="2">
        <v>0</v>
      </c>
      <c r="FQ53" s="2">
        <v>1</v>
      </c>
      <c r="FR53" s="2">
        <v>0</v>
      </c>
      <c r="FS53" s="2">
        <v>0</v>
      </c>
      <c r="FT53" s="2">
        <v>0</v>
      </c>
      <c r="FU53" s="2">
        <v>0</v>
      </c>
      <c r="FV53" s="2">
        <v>0</v>
      </c>
      <c r="FW53" s="2">
        <v>0</v>
      </c>
      <c r="FX53" s="2">
        <v>0</v>
      </c>
      <c r="FY53" s="2">
        <v>0</v>
      </c>
      <c r="GA53" s="1" t="s">
        <v>1156</v>
      </c>
      <c r="GI53" s="1" t="s">
        <v>2580</v>
      </c>
      <c r="GJ53" s="2">
        <v>0</v>
      </c>
      <c r="GK53" s="2">
        <v>0</v>
      </c>
      <c r="GL53" s="2">
        <v>0</v>
      </c>
      <c r="GM53" s="2">
        <v>0</v>
      </c>
      <c r="GN53" s="2">
        <v>1</v>
      </c>
      <c r="GO53" s="2">
        <v>0</v>
      </c>
      <c r="GP53" s="2">
        <v>0</v>
      </c>
      <c r="GQ53" s="2">
        <v>0</v>
      </c>
      <c r="GR53" s="2">
        <v>0</v>
      </c>
      <c r="GS53" s="2">
        <v>0</v>
      </c>
      <c r="GT53" s="2">
        <v>0</v>
      </c>
      <c r="GU53" s="2">
        <v>0</v>
      </c>
      <c r="GV53" s="2">
        <v>0</v>
      </c>
      <c r="AVT53" s="1">
        <v>136623720</v>
      </c>
      <c r="AVU53" s="1" t="s">
        <v>2692</v>
      </c>
      <c r="AVW53" s="1">
        <v>309</v>
      </c>
    </row>
    <row r="54" spans="1:981 1268:1271" x14ac:dyDescent="0.3">
      <c r="A54" s="1" t="s">
        <v>2693</v>
      </c>
      <c r="B54" s="1" t="s">
        <v>2694</v>
      </c>
      <c r="C54" s="1" t="s">
        <v>2695</v>
      </c>
      <c r="D54" s="1" t="s">
        <v>2442</v>
      </c>
      <c r="E54" s="1">
        <v>356676101957824</v>
      </c>
      <c r="F54" s="1" t="s">
        <v>2442</v>
      </c>
      <c r="I54" s="1" t="s">
        <v>1659</v>
      </c>
      <c r="J54" s="1" t="s">
        <v>2346</v>
      </c>
      <c r="K54" s="1" t="s">
        <v>2346</v>
      </c>
      <c r="N54" s="1" t="s">
        <v>1153</v>
      </c>
      <c r="O54" s="1">
        <v>1</v>
      </c>
      <c r="P54" s="1">
        <v>0</v>
      </c>
      <c r="Q54" s="1">
        <v>0</v>
      </c>
      <c r="R54" s="1">
        <v>0</v>
      </c>
      <c r="S54" s="1">
        <v>0</v>
      </c>
      <c r="U54" s="1" t="s">
        <v>2607</v>
      </c>
      <c r="W54" s="1" t="s">
        <v>1156</v>
      </c>
      <c r="X54" s="1" t="s">
        <v>1156</v>
      </c>
      <c r="AN54" s="1" t="s">
        <v>1182</v>
      </c>
      <c r="AO54" s="1">
        <v>140</v>
      </c>
      <c r="AP54" s="1" t="s">
        <v>2559</v>
      </c>
      <c r="AR54" s="1" t="s">
        <v>1801</v>
      </c>
      <c r="AS54" s="1" t="s">
        <v>1833</v>
      </c>
      <c r="AT54" s="1" t="s">
        <v>1156</v>
      </c>
      <c r="AU54" s="1" t="s">
        <v>1186</v>
      </c>
      <c r="AV54" s="1" t="s">
        <v>2696</v>
      </c>
      <c r="AW54" s="1">
        <v>1</v>
      </c>
      <c r="AX54" s="1">
        <v>0</v>
      </c>
      <c r="AY54" s="1">
        <v>0</v>
      </c>
      <c r="AZ54" s="1">
        <v>1</v>
      </c>
      <c r="BA54" s="1">
        <v>0</v>
      </c>
      <c r="BB54" s="1">
        <v>0</v>
      </c>
      <c r="BC54" s="1">
        <v>0</v>
      </c>
      <c r="BD54" s="1">
        <v>0</v>
      </c>
      <c r="BO54" s="1" t="s">
        <v>1158</v>
      </c>
      <c r="BP54" s="1">
        <v>0</v>
      </c>
      <c r="BQ54" s="1">
        <v>0</v>
      </c>
      <c r="BR54" s="1">
        <v>0</v>
      </c>
      <c r="BS54" s="1">
        <v>0</v>
      </c>
      <c r="BT54" s="1">
        <v>0</v>
      </c>
      <c r="BU54" s="1">
        <v>1</v>
      </c>
      <c r="BV54" s="1">
        <v>0</v>
      </c>
      <c r="BW54" s="1">
        <v>0</v>
      </c>
      <c r="BX54" s="1">
        <v>0</v>
      </c>
      <c r="BY54" s="1">
        <v>0</v>
      </c>
      <c r="BZ54" s="1">
        <v>0</v>
      </c>
      <c r="CA54" s="1">
        <v>0</v>
      </c>
      <c r="CC54" s="1" t="s">
        <v>1155</v>
      </c>
      <c r="DQ54" s="1" t="s">
        <v>2197</v>
      </c>
      <c r="DR54" s="2">
        <v>1</v>
      </c>
      <c r="DS54" s="2">
        <v>1</v>
      </c>
      <c r="DT54" s="2">
        <v>0</v>
      </c>
      <c r="DU54" s="2">
        <v>0</v>
      </c>
      <c r="DV54" s="2">
        <v>0</v>
      </c>
      <c r="DX54" s="1" t="s">
        <v>1164</v>
      </c>
      <c r="DY54" s="2">
        <v>0</v>
      </c>
      <c r="DZ54" s="2">
        <v>0</v>
      </c>
      <c r="EA54" s="2">
        <v>0</v>
      </c>
      <c r="EB54" s="2">
        <v>0</v>
      </c>
      <c r="EC54" s="2">
        <v>0</v>
      </c>
      <c r="ED54" s="2">
        <v>0</v>
      </c>
      <c r="EE54" s="2">
        <v>0</v>
      </c>
      <c r="EF54" s="2">
        <v>0</v>
      </c>
      <c r="EG54" s="2">
        <v>0</v>
      </c>
      <c r="EH54" s="2">
        <v>1</v>
      </c>
      <c r="EI54" s="2">
        <v>0</v>
      </c>
      <c r="EJ54" s="2">
        <v>0</v>
      </c>
      <c r="EK54" s="2">
        <v>0</v>
      </c>
      <c r="EM54" s="1" t="s">
        <v>1194</v>
      </c>
      <c r="EN54" s="2">
        <v>0</v>
      </c>
      <c r="EO54" s="2">
        <v>0</v>
      </c>
      <c r="EP54" s="2">
        <v>0</v>
      </c>
      <c r="EQ54" s="2">
        <v>0</v>
      </c>
      <c r="ER54" s="2">
        <v>1</v>
      </c>
      <c r="ES54" s="2">
        <v>0</v>
      </c>
      <c r="ET54" s="2">
        <v>0</v>
      </c>
      <c r="EU54" s="2">
        <v>0</v>
      </c>
      <c r="EV54" s="2">
        <v>0</v>
      </c>
      <c r="EW54" s="2">
        <v>0</v>
      </c>
      <c r="EX54" s="2">
        <v>0</v>
      </c>
      <c r="EY54" s="2">
        <v>0</v>
      </c>
      <c r="EZ54" s="2">
        <v>0</v>
      </c>
      <c r="FB54" s="1" t="s">
        <v>1156</v>
      </c>
      <c r="FC54" s="1" t="s">
        <v>1158</v>
      </c>
      <c r="FD54" s="2">
        <v>0</v>
      </c>
      <c r="FE54" s="2">
        <v>0</v>
      </c>
      <c r="FF54" s="2">
        <v>0</v>
      </c>
      <c r="FG54" s="2">
        <v>0</v>
      </c>
      <c r="FH54" s="2">
        <v>1</v>
      </c>
      <c r="FI54" s="2">
        <v>0</v>
      </c>
      <c r="FJ54" s="2">
        <v>0</v>
      </c>
      <c r="FL54" s="1" t="s">
        <v>2674</v>
      </c>
      <c r="FM54" s="2">
        <v>0</v>
      </c>
      <c r="FN54" s="2">
        <v>1</v>
      </c>
      <c r="FO54" s="2">
        <v>1</v>
      </c>
      <c r="FP54" s="2">
        <v>0</v>
      </c>
      <c r="FQ54" s="2">
        <v>0</v>
      </c>
      <c r="FR54" s="2">
        <v>1</v>
      </c>
      <c r="FS54" s="2">
        <v>0</v>
      </c>
      <c r="FT54" s="2">
        <v>0</v>
      </c>
      <c r="FU54" s="2">
        <v>0</v>
      </c>
      <c r="FV54" s="2">
        <v>0</v>
      </c>
      <c r="FW54" s="2">
        <v>0</v>
      </c>
      <c r="FX54" s="2">
        <v>0</v>
      </c>
      <c r="FY54" s="2">
        <v>0</v>
      </c>
      <c r="GA54" s="1" t="s">
        <v>1156</v>
      </c>
      <c r="GI54" s="1" t="s">
        <v>2403</v>
      </c>
      <c r="GJ54" s="2">
        <v>0</v>
      </c>
      <c r="GK54" s="2">
        <v>0</v>
      </c>
      <c r="GL54" s="2">
        <v>0</v>
      </c>
      <c r="GM54" s="2">
        <v>0</v>
      </c>
      <c r="GN54" s="2">
        <v>0</v>
      </c>
      <c r="GO54" s="2">
        <v>0</v>
      </c>
      <c r="GP54" s="2">
        <v>0</v>
      </c>
      <c r="GQ54" s="2">
        <v>0</v>
      </c>
      <c r="GR54" s="2">
        <v>0</v>
      </c>
      <c r="GS54" s="2">
        <v>0</v>
      </c>
      <c r="GT54" s="2">
        <v>1</v>
      </c>
      <c r="GU54" s="2">
        <v>0</v>
      </c>
      <c r="GV54" s="2">
        <v>0</v>
      </c>
      <c r="AVT54" s="1">
        <v>136623728</v>
      </c>
      <c r="AVU54" s="1" t="s">
        <v>2697</v>
      </c>
      <c r="AVW54" s="1">
        <v>310</v>
      </c>
    </row>
    <row r="55" spans="1:981 1268:1271" x14ac:dyDescent="0.3">
      <c r="A55" s="1" t="s">
        <v>2698</v>
      </c>
      <c r="B55" s="1" t="s">
        <v>2699</v>
      </c>
      <c r="C55" s="1" t="s">
        <v>2700</v>
      </c>
      <c r="D55" s="1" t="s">
        <v>2442</v>
      </c>
      <c r="E55" s="1">
        <v>356676101957824</v>
      </c>
      <c r="F55" s="1" t="s">
        <v>2442</v>
      </c>
      <c r="I55" s="1" t="s">
        <v>1659</v>
      </c>
      <c r="J55" s="1" t="s">
        <v>2346</v>
      </c>
      <c r="K55" s="1" t="s">
        <v>2346</v>
      </c>
      <c r="N55" s="1" t="s">
        <v>1153</v>
      </c>
      <c r="O55" s="1">
        <v>1</v>
      </c>
      <c r="P55" s="1">
        <v>0</v>
      </c>
      <c r="Q55" s="1">
        <v>0</v>
      </c>
      <c r="R55" s="1">
        <v>0</v>
      </c>
      <c r="S55" s="1">
        <v>0</v>
      </c>
      <c r="U55" s="1" t="s">
        <v>2607</v>
      </c>
      <c r="W55" s="1" t="s">
        <v>1156</v>
      </c>
      <c r="X55" s="1" t="s">
        <v>1156</v>
      </c>
      <c r="AN55" s="1" t="s">
        <v>1182</v>
      </c>
      <c r="AO55" s="1">
        <v>185</v>
      </c>
      <c r="AP55" s="1" t="s">
        <v>1398</v>
      </c>
      <c r="AR55" s="1" t="s">
        <v>1801</v>
      </c>
      <c r="AS55" s="1" t="s">
        <v>1833</v>
      </c>
      <c r="AT55" s="1" t="s">
        <v>1156</v>
      </c>
      <c r="AU55" s="1" t="s">
        <v>1157</v>
      </c>
      <c r="AV55" s="1" t="s">
        <v>2696</v>
      </c>
      <c r="AW55" s="1">
        <v>1</v>
      </c>
      <c r="AX55" s="1">
        <v>0</v>
      </c>
      <c r="AY55" s="1">
        <v>0</v>
      </c>
      <c r="AZ55" s="1">
        <v>1</v>
      </c>
      <c r="BA55" s="1">
        <v>0</v>
      </c>
      <c r="BB55" s="1">
        <v>0</v>
      </c>
      <c r="BC55" s="1">
        <v>0</v>
      </c>
      <c r="BD55" s="1">
        <v>0</v>
      </c>
      <c r="BO55" s="1" t="s">
        <v>1158</v>
      </c>
      <c r="BP55" s="1">
        <v>0</v>
      </c>
      <c r="BQ55" s="1">
        <v>0</v>
      </c>
      <c r="BR55" s="1">
        <v>0</v>
      </c>
      <c r="BS55" s="1">
        <v>0</v>
      </c>
      <c r="BT55" s="1">
        <v>0</v>
      </c>
      <c r="BU55" s="1">
        <v>1</v>
      </c>
      <c r="BV55" s="1">
        <v>0</v>
      </c>
      <c r="BW55" s="1">
        <v>0</v>
      </c>
      <c r="BX55" s="1">
        <v>0</v>
      </c>
      <c r="BY55" s="1">
        <v>0</v>
      </c>
      <c r="BZ55" s="1">
        <v>0</v>
      </c>
      <c r="CA55" s="1">
        <v>0</v>
      </c>
      <c r="CC55" s="1" t="s">
        <v>1155</v>
      </c>
      <c r="DQ55" s="1" t="s">
        <v>1169</v>
      </c>
      <c r="DR55" s="2">
        <v>0</v>
      </c>
      <c r="DS55" s="2">
        <v>1</v>
      </c>
      <c r="DT55" s="2">
        <v>0</v>
      </c>
      <c r="DU55" s="2">
        <v>0</v>
      </c>
      <c r="DV55" s="2">
        <v>0</v>
      </c>
      <c r="DX55" s="1" t="s">
        <v>2376</v>
      </c>
      <c r="DY55" s="2">
        <v>0</v>
      </c>
      <c r="DZ55" s="2">
        <v>1</v>
      </c>
      <c r="EA55" s="2">
        <v>0</v>
      </c>
      <c r="EB55" s="2">
        <v>0</v>
      </c>
      <c r="EC55" s="2">
        <v>0</v>
      </c>
      <c r="ED55" s="2">
        <v>0</v>
      </c>
      <c r="EE55" s="2">
        <v>0</v>
      </c>
      <c r="EF55" s="2">
        <v>0</v>
      </c>
      <c r="EG55" s="2">
        <v>0</v>
      </c>
      <c r="EH55" s="2">
        <v>0</v>
      </c>
      <c r="EI55" s="2">
        <v>0</v>
      </c>
      <c r="EJ55" s="2">
        <v>0</v>
      </c>
      <c r="EK55" s="2">
        <v>0</v>
      </c>
      <c r="EM55" s="1" t="s">
        <v>1194</v>
      </c>
      <c r="EN55" s="2">
        <v>0</v>
      </c>
      <c r="EO55" s="2">
        <v>0</v>
      </c>
      <c r="EP55" s="2">
        <v>0</v>
      </c>
      <c r="EQ55" s="2">
        <v>0</v>
      </c>
      <c r="ER55" s="2">
        <v>1</v>
      </c>
      <c r="ES55" s="2">
        <v>0</v>
      </c>
      <c r="ET55" s="2">
        <v>0</v>
      </c>
      <c r="EU55" s="2">
        <v>0</v>
      </c>
      <c r="EV55" s="2">
        <v>0</v>
      </c>
      <c r="EW55" s="2">
        <v>0</v>
      </c>
      <c r="EX55" s="2">
        <v>0</v>
      </c>
      <c r="EY55" s="2">
        <v>0</v>
      </c>
      <c r="EZ55" s="2">
        <v>0</v>
      </c>
      <c r="FB55" s="1" t="s">
        <v>1156</v>
      </c>
      <c r="FC55" s="1" t="s">
        <v>1158</v>
      </c>
      <c r="FD55" s="2">
        <v>0</v>
      </c>
      <c r="FE55" s="2">
        <v>0</v>
      </c>
      <c r="FF55" s="2">
        <v>0</v>
      </c>
      <c r="FG55" s="2">
        <v>0</v>
      </c>
      <c r="FH55" s="2">
        <v>1</v>
      </c>
      <c r="FI55" s="2">
        <v>0</v>
      </c>
      <c r="FJ55" s="2">
        <v>0</v>
      </c>
      <c r="FL55" s="1" t="s">
        <v>1200</v>
      </c>
      <c r="FM55" s="2">
        <v>0</v>
      </c>
      <c r="FN55" s="2">
        <v>1</v>
      </c>
      <c r="FO55" s="2">
        <v>0</v>
      </c>
      <c r="FP55" s="2">
        <v>0</v>
      </c>
      <c r="FQ55" s="2">
        <v>1</v>
      </c>
      <c r="FR55" s="2">
        <v>0</v>
      </c>
      <c r="FS55" s="2">
        <v>0</v>
      </c>
      <c r="FT55" s="2">
        <v>0</v>
      </c>
      <c r="FU55" s="2">
        <v>0</v>
      </c>
      <c r="FV55" s="2">
        <v>0</v>
      </c>
      <c r="FW55" s="2">
        <v>0</v>
      </c>
      <c r="FX55" s="2">
        <v>0</v>
      </c>
      <c r="FY55" s="2">
        <v>0</v>
      </c>
      <c r="GA55" s="1" t="s">
        <v>1156</v>
      </c>
      <c r="GI55" s="1" t="s">
        <v>1162</v>
      </c>
      <c r="GJ55" s="2">
        <v>0</v>
      </c>
      <c r="GK55" s="2">
        <v>0</v>
      </c>
      <c r="GL55" s="2">
        <v>0</v>
      </c>
      <c r="GM55" s="2">
        <v>0</v>
      </c>
      <c r="GN55" s="2">
        <v>0</v>
      </c>
      <c r="GO55" s="2">
        <v>0</v>
      </c>
      <c r="GP55" s="2">
        <v>0</v>
      </c>
      <c r="GQ55" s="2">
        <v>0</v>
      </c>
      <c r="GR55" s="2">
        <v>0</v>
      </c>
      <c r="GS55" s="2">
        <v>0</v>
      </c>
      <c r="GT55" s="2">
        <v>0</v>
      </c>
      <c r="GU55" s="2">
        <v>1</v>
      </c>
      <c r="GV55" s="2">
        <v>0</v>
      </c>
      <c r="AVT55" s="1">
        <v>136623812</v>
      </c>
      <c r="AVU55" s="1" t="s">
        <v>2701</v>
      </c>
      <c r="AVW55" s="1">
        <v>312</v>
      </c>
    </row>
    <row r="56" spans="1:981 1268:1271" x14ac:dyDescent="0.3">
      <c r="A56" s="1" t="s">
        <v>2702</v>
      </c>
      <c r="B56" s="1" t="s">
        <v>2703</v>
      </c>
      <c r="C56" s="1" t="s">
        <v>2704</v>
      </c>
      <c r="D56" s="1" t="s">
        <v>2442</v>
      </c>
      <c r="E56" s="1">
        <v>356676102903926</v>
      </c>
      <c r="F56" s="1" t="s">
        <v>2442</v>
      </c>
      <c r="I56" s="1" t="s">
        <v>1659</v>
      </c>
      <c r="J56" s="1" t="s">
        <v>2346</v>
      </c>
      <c r="K56" s="1" t="s">
        <v>2346</v>
      </c>
      <c r="N56" s="1" t="s">
        <v>1170</v>
      </c>
      <c r="O56" s="1">
        <v>0</v>
      </c>
      <c r="P56" s="1">
        <v>0</v>
      </c>
      <c r="Q56" s="1">
        <v>1</v>
      </c>
      <c r="R56" s="1">
        <v>0</v>
      </c>
      <c r="S56" s="1">
        <v>0</v>
      </c>
      <c r="ZS56" s="1" t="s">
        <v>2705</v>
      </c>
      <c r="ZT56" s="63" t="s">
        <v>1171</v>
      </c>
      <c r="ZV56" s="1" t="s">
        <v>1172</v>
      </c>
      <c r="ZX56" s="1" t="s">
        <v>1156</v>
      </c>
      <c r="ABE56" s="1" t="s">
        <v>1173</v>
      </c>
      <c r="ABF56" s="1">
        <v>1</v>
      </c>
      <c r="ABG56" s="1">
        <v>0</v>
      </c>
      <c r="ABH56" s="1">
        <v>0</v>
      </c>
      <c r="ABI56" s="1">
        <v>0</v>
      </c>
      <c r="ABJ56" s="1">
        <v>0</v>
      </c>
      <c r="ABL56" s="1" t="s">
        <v>2396</v>
      </c>
      <c r="ABM56" s="1">
        <v>0</v>
      </c>
      <c r="ABN56" s="1">
        <v>0</v>
      </c>
      <c r="ABO56" s="1">
        <v>0</v>
      </c>
      <c r="ABP56" s="1">
        <v>0</v>
      </c>
      <c r="ABQ56" s="1">
        <v>0</v>
      </c>
      <c r="ABR56" s="1">
        <v>1</v>
      </c>
      <c r="ABS56" s="1">
        <v>0</v>
      </c>
      <c r="ABT56" s="1">
        <v>0</v>
      </c>
      <c r="ABU56" s="1">
        <v>1</v>
      </c>
      <c r="ABV56" s="1">
        <v>0</v>
      </c>
      <c r="ABW56" s="1">
        <v>0</v>
      </c>
      <c r="ABX56" s="1">
        <v>0</v>
      </c>
      <c r="ABY56" s="1" t="s">
        <v>2828</v>
      </c>
      <c r="ABZ56" s="1">
        <v>8</v>
      </c>
      <c r="ACA56" s="1" t="s">
        <v>1156</v>
      </c>
      <c r="ACB56" s="1">
        <v>12</v>
      </c>
      <c r="ACC56" s="1" t="s">
        <v>1156</v>
      </c>
      <c r="ACD56" s="1">
        <v>6</v>
      </c>
      <c r="ACE56" s="1">
        <v>6</v>
      </c>
      <c r="ACF56" s="1">
        <v>6</v>
      </c>
      <c r="ACG56" s="1">
        <v>12</v>
      </c>
      <c r="ACI56" s="1" t="s">
        <v>1156</v>
      </c>
      <c r="ACJ56" s="1" t="s">
        <v>1156</v>
      </c>
      <c r="ACK56" s="1" t="s">
        <v>2259</v>
      </c>
      <c r="ACM56" s="1" t="s">
        <v>1156</v>
      </c>
      <c r="ACN56" s="1">
        <v>421</v>
      </c>
      <c r="ACO56" s="1">
        <v>138</v>
      </c>
      <c r="ACP56" s="1">
        <v>283</v>
      </c>
      <c r="ACQ56" s="1">
        <v>283</v>
      </c>
      <c r="ACR56" s="1">
        <v>421</v>
      </c>
      <c r="ACT56" s="1">
        <v>13</v>
      </c>
      <c r="ACU56" s="1">
        <v>15</v>
      </c>
      <c r="ACV56" s="1" t="s">
        <v>1156</v>
      </c>
      <c r="ACW56" s="1" t="s">
        <v>1166</v>
      </c>
      <c r="ADG56" s="1" t="s">
        <v>1532</v>
      </c>
      <c r="ADH56" s="1">
        <v>0</v>
      </c>
      <c r="ADI56" s="1">
        <v>0</v>
      </c>
      <c r="ADJ56" s="1">
        <v>0</v>
      </c>
      <c r="ADK56" s="1">
        <v>0</v>
      </c>
      <c r="ADL56" s="1">
        <v>0</v>
      </c>
      <c r="ADM56" s="1">
        <v>0</v>
      </c>
      <c r="ADN56" s="1">
        <v>0</v>
      </c>
      <c r="ADO56" s="1">
        <v>1</v>
      </c>
      <c r="ADQ56" s="1">
        <v>1</v>
      </c>
      <c r="ADR56" s="1">
        <v>0</v>
      </c>
      <c r="ADS56" s="1">
        <v>1</v>
      </c>
      <c r="ADT56" s="1">
        <v>1</v>
      </c>
      <c r="ADU56" s="1">
        <v>1</v>
      </c>
      <c r="ADW56" s="1" t="s">
        <v>1155</v>
      </c>
      <c r="AEO56" s="1">
        <v>0</v>
      </c>
      <c r="AEP56" s="1">
        <v>0</v>
      </c>
      <c r="AEQ56" s="1">
        <v>0</v>
      </c>
      <c r="AER56" s="1">
        <v>0</v>
      </c>
      <c r="AES56" s="1">
        <v>0</v>
      </c>
      <c r="AEU56" s="1" t="s">
        <v>1155</v>
      </c>
      <c r="AFL56" s="1">
        <v>5</v>
      </c>
      <c r="AFM56" s="1">
        <v>0</v>
      </c>
      <c r="AFN56" s="1">
        <v>5</v>
      </c>
      <c r="AFO56" s="1">
        <v>5</v>
      </c>
      <c r="AFP56" s="1">
        <v>5</v>
      </c>
      <c r="AFR56" s="1" t="s">
        <v>1156</v>
      </c>
      <c r="AFS56" s="1" t="s">
        <v>1166</v>
      </c>
      <c r="AGA56" s="1" t="s">
        <v>2706</v>
      </c>
      <c r="AGB56" s="1">
        <v>1</v>
      </c>
      <c r="AGC56" s="1">
        <v>0</v>
      </c>
      <c r="AGD56" s="1">
        <v>0</v>
      </c>
      <c r="AGE56" s="1">
        <v>0</v>
      </c>
      <c r="AGF56" s="1">
        <v>0</v>
      </c>
      <c r="AGH56" s="1" t="s">
        <v>1187</v>
      </c>
      <c r="AGI56" s="1" t="s">
        <v>1174</v>
      </c>
      <c r="AGJ56" s="1" t="s">
        <v>1156</v>
      </c>
      <c r="AGK56" s="90">
        <v>750</v>
      </c>
      <c r="AGL56" s="1" t="s">
        <v>2707</v>
      </c>
      <c r="AGM56" s="1">
        <v>0</v>
      </c>
      <c r="AGN56" s="1">
        <v>1</v>
      </c>
      <c r="AGO56" s="1">
        <v>0</v>
      </c>
      <c r="AGP56" s="1">
        <v>0</v>
      </c>
      <c r="AGQ56" s="1">
        <v>0</v>
      </c>
      <c r="AGR56" s="1">
        <v>0</v>
      </c>
      <c r="AGT56" s="1" t="s">
        <v>1155</v>
      </c>
      <c r="AHQ56" s="1" t="s">
        <v>1169</v>
      </c>
      <c r="AHR56" s="1">
        <v>0</v>
      </c>
      <c r="AHS56" s="1">
        <v>1</v>
      </c>
      <c r="AHT56" s="1">
        <v>0</v>
      </c>
      <c r="AHU56" s="1">
        <v>0</v>
      </c>
      <c r="AHV56" s="1">
        <v>0</v>
      </c>
      <c r="AHX56" s="1" t="s">
        <v>2708</v>
      </c>
      <c r="AHY56" s="1">
        <v>0</v>
      </c>
      <c r="AHZ56" s="1">
        <v>0</v>
      </c>
      <c r="AIA56" s="1">
        <v>0</v>
      </c>
      <c r="AIB56" s="1">
        <v>1</v>
      </c>
      <c r="AIC56" s="1">
        <v>0</v>
      </c>
      <c r="AID56" s="1">
        <v>0</v>
      </c>
      <c r="AIE56" s="1">
        <v>0</v>
      </c>
      <c r="AIF56" s="1">
        <v>0</v>
      </c>
      <c r="AIG56" s="1">
        <v>0</v>
      </c>
      <c r="AIH56" s="1">
        <v>0</v>
      </c>
      <c r="AII56" s="1">
        <v>0</v>
      </c>
      <c r="AIK56" s="1" t="s">
        <v>1194</v>
      </c>
      <c r="AIL56" s="1">
        <v>0</v>
      </c>
      <c r="AIM56" s="1">
        <v>0</v>
      </c>
      <c r="AIN56" s="1">
        <v>0</v>
      </c>
      <c r="AIO56" s="1">
        <v>0</v>
      </c>
      <c r="AIP56" s="1">
        <v>1</v>
      </c>
      <c r="AIQ56" s="1">
        <v>0</v>
      </c>
      <c r="AIR56" s="1">
        <v>0</v>
      </c>
      <c r="AIS56" s="1">
        <v>0</v>
      </c>
      <c r="AIT56" s="1">
        <v>0</v>
      </c>
      <c r="AIU56" s="1">
        <v>0</v>
      </c>
      <c r="AIV56" s="1">
        <v>0</v>
      </c>
      <c r="AIW56" s="1">
        <v>0</v>
      </c>
      <c r="AIX56" s="1">
        <v>0</v>
      </c>
      <c r="AIZ56" s="1" t="s">
        <v>1156</v>
      </c>
      <c r="AJA56" s="1" t="s">
        <v>1158</v>
      </c>
      <c r="AJB56" s="1">
        <v>0</v>
      </c>
      <c r="AJC56" s="1">
        <v>0</v>
      </c>
      <c r="AJD56" s="1">
        <v>0</v>
      </c>
      <c r="AJE56" s="1">
        <v>0</v>
      </c>
      <c r="AJF56" s="1">
        <v>1</v>
      </c>
      <c r="AJG56" s="1">
        <v>0</v>
      </c>
      <c r="AJH56" s="1">
        <v>0</v>
      </c>
      <c r="AJJ56" s="1" t="s">
        <v>2709</v>
      </c>
      <c r="AJK56" s="1">
        <v>0</v>
      </c>
      <c r="AJL56" s="1">
        <v>0</v>
      </c>
      <c r="AJM56" s="1">
        <v>0</v>
      </c>
      <c r="AJN56" s="1">
        <v>0</v>
      </c>
      <c r="AJO56" s="1">
        <v>1</v>
      </c>
      <c r="AJP56" s="1">
        <v>1</v>
      </c>
      <c r="AJQ56" s="1">
        <v>0</v>
      </c>
      <c r="AJR56" s="1">
        <v>0</v>
      </c>
      <c r="AJS56" s="1">
        <v>0</v>
      </c>
      <c r="AJT56" s="1">
        <v>0</v>
      </c>
      <c r="AJU56" s="1">
        <v>0</v>
      </c>
      <c r="AJV56" s="1">
        <v>0</v>
      </c>
      <c r="AJX56" s="1" t="s">
        <v>1155</v>
      </c>
      <c r="AJY56" s="1" t="s">
        <v>2350</v>
      </c>
      <c r="AJZ56" s="1">
        <v>0</v>
      </c>
      <c r="AKA56" s="1">
        <v>1</v>
      </c>
      <c r="AKB56" s="1">
        <v>0</v>
      </c>
      <c r="AKC56" s="1">
        <v>0</v>
      </c>
      <c r="AKD56" s="1">
        <v>0</v>
      </c>
      <c r="AKF56" s="1" t="s">
        <v>2841</v>
      </c>
      <c r="AKG56" s="1">
        <v>0</v>
      </c>
      <c r="AKH56" s="1">
        <v>0</v>
      </c>
      <c r="AKI56" s="1">
        <v>0</v>
      </c>
      <c r="AKJ56" s="1">
        <v>0</v>
      </c>
      <c r="AKK56" s="1">
        <v>0</v>
      </c>
      <c r="AKL56" s="1">
        <v>1</v>
      </c>
      <c r="AKM56" s="1">
        <v>0</v>
      </c>
      <c r="AKN56" s="1">
        <v>0</v>
      </c>
      <c r="AKO56" s="1">
        <v>0</v>
      </c>
      <c r="AKP56" s="1">
        <v>0</v>
      </c>
      <c r="AKQ56" s="1">
        <v>0</v>
      </c>
      <c r="AKR56" s="1">
        <v>1</v>
      </c>
      <c r="AKS56" s="1" t="s">
        <v>2710</v>
      </c>
      <c r="AVT56" s="1">
        <v>136623865</v>
      </c>
      <c r="AVU56" s="1" t="s">
        <v>2711</v>
      </c>
      <c r="AVW56" s="1">
        <v>313</v>
      </c>
    </row>
    <row r="57" spans="1:981 1268:1271" x14ac:dyDescent="0.3">
      <c r="A57" s="1" t="s">
        <v>2712</v>
      </c>
      <c r="B57" s="1" t="s">
        <v>2713</v>
      </c>
      <c r="C57" s="1" t="s">
        <v>2714</v>
      </c>
      <c r="D57" s="1" t="s">
        <v>2442</v>
      </c>
      <c r="E57" s="1">
        <v>356676101957824</v>
      </c>
      <c r="F57" s="1" t="s">
        <v>2442</v>
      </c>
      <c r="I57" s="1" t="s">
        <v>1659</v>
      </c>
      <c r="J57" s="1" t="s">
        <v>2346</v>
      </c>
      <c r="K57" s="1" t="s">
        <v>2346</v>
      </c>
      <c r="N57" s="1" t="s">
        <v>1153</v>
      </c>
      <c r="O57" s="1">
        <v>1</v>
      </c>
      <c r="P57" s="1">
        <v>0</v>
      </c>
      <c r="Q57" s="1">
        <v>0</v>
      </c>
      <c r="R57" s="1">
        <v>0</v>
      </c>
      <c r="S57" s="1">
        <v>0</v>
      </c>
      <c r="U57" s="1" t="s">
        <v>2259</v>
      </c>
      <c r="W57" s="1" t="s">
        <v>1156</v>
      </c>
      <c r="X57" s="1" t="s">
        <v>1156</v>
      </c>
      <c r="AN57" s="1" t="s">
        <v>1155</v>
      </c>
      <c r="AO57" s="1">
        <v>145</v>
      </c>
      <c r="AP57" s="1" t="s">
        <v>2559</v>
      </c>
      <c r="AR57" s="1" t="s">
        <v>1801</v>
      </c>
      <c r="AS57" s="1" t="s">
        <v>1833</v>
      </c>
      <c r="AT57" s="1" t="s">
        <v>1156</v>
      </c>
      <c r="AU57" s="1" t="s">
        <v>1186</v>
      </c>
      <c r="AV57" s="1" t="s">
        <v>2696</v>
      </c>
      <c r="AW57" s="1">
        <v>1</v>
      </c>
      <c r="AX57" s="1">
        <v>0</v>
      </c>
      <c r="AY57" s="1">
        <v>0</v>
      </c>
      <c r="AZ57" s="1">
        <v>1</v>
      </c>
      <c r="BA57" s="1">
        <v>0</v>
      </c>
      <c r="BB57" s="1">
        <v>0</v>
      </c>
      <c r="BC57" s="1">
        <v>0</v>
      </c>
      <c r="BD57" s="1">
        <v>0</v>
      </c>
      <c r="BO57" s="1" t="s">
        <v>1158</v>
      </c>
      <c r="BP57" s="1">
        <v>0</v>
      </c>
      <c r="BQ57" s="1">
        <v>0</v>
      </c>
      <c r="BR57" s="1">
        <v>0</v>
      </c>
      <c r="BS57" s="1">
        <v>0</v>
      </c>
      <c r="BT57" s="1">
        <v>0</v>
      </c>
      <c r="BU57" s="1">
        <v>1</v>
      </c>
      <c r="BV57" s="1">
        <v>0</v>
      </c>
      <c r="BW57" s="1">
        <v>0</v>
      </c>
      <c r="BX57" s="1">
        <v>0</v>
      </c>
      <c r="BY57" s="1">
        <v>0</v>
      </c>
      <c r="BZ57" s="1">
        <v>0</v>
      </c>
      <c r="CA57" s="1">
        <v>0</v>
      </c>
      <c r="CC57" s="1" t="s">
        <v>1155</v>
      </c>
      <c r="DQ57" s="1" t="s">
        <v>1164</v>
      </c>
      <c r="DR57" s="2">
        <v>0</v>
      </c>
      <c r="DS57" s="2">
        <v>0</v>
      </c>
      <c r="DT57" s="2">
        <v>0</v>
      </c>
      <c r="DU57" s="2">
        <v>0</v>
      </c>
      <c r="DV57" s="2">
        <v>1</v>
      </c>
      <c r="DX57" s="1" t="s">
        <v>2715</v>
      </c>
      <c r="DY57" s="2">
        <v>1</v>
      </c>
      <c r="DZ57" s="2">
        <v>1</v>
      </c>
      <c r="EA57" s="2">
        <v>0</v>
      </c>
      <c r="EB57" s="2">
        <v>0</v>
      </c>
      <c r="EC57" s="2">
        <v>0</v>
      </c>
      <c r="ED57" s="2">
        <v>0</v>
      </c>
      <c r="EE57" s="2">
        <v>0</v>
      </c>
      <c r="EF57" s="2">
        <v>0</v>
      </c>
      <c r="EG57" s="2">
        <v>0</v>
      </c>
      <c r="EH57" s="2">
        <v>0</v>
      </c>
      <c r="EI57" s="2">
        <v>0</v>
      </c>
      <c r="EJ57" s="2">
        <v>0</v>
      </c>
      <c r="EK57" s="2">
        <v>1</v>
      </c>
      <c r="EM57" s="1" t="s">
        <v>1164</v>
      </c>
      <c r="EN57" s="2">
        <v>0</v>
      </c>
      <c r="EO57" s="2">
        <v>0</v>
      </c>
      <c r="EP57" s="2">
        <v>0</v>
      </c>
      <c r="EQ57" s="2">
        <v>0</v>
      </c>
      <c r="ER57" s="2">
        <v>0</v>
      </c>
      <c r="ES57" s="2">
        <v>0</v>
      </c>
      <c r="ET57" s="2">
        <v>0</v>
      </c>
      <c r="EU57" s="2">
        <v>0</v>
      </c>
      <c r="EV57" s="2">
        <v>0</v>
      </c>
      <c r="EW57" s="2">
        <v>1</v>
      </c>
      <c r="EX57" s="2">
        <v>0</v>
      </c>
      <c r="EY57" s="2">
        <v>0</v>
      </c>
      <c r="EZ57" s="2">
        <v>0</v>
      </c>
      <c r="FB57" s="1" t="s">
        <v>1155</v>
      </c>
      <c r="GI57" s="1" t="s">
        <v>1162</v>
      </c>
      <c r="GJ57" s="2">
        <v>0</v>
      </c>
      <c r="GK57" s="2">
        <v>0</v>
      </c>
      <c r="GL57" s="2">
        <v>0</v>
      </c>
      <c r="GM57" s="2">
        <v>0</v>
      </c>
      <c r="GN57" s="2">
        <v>0</v>
      </c>
      <c r="GO57" s="2">
        <v>0</v>
      </c>
      <c r="GP57" s="2">
        <v>0</v>
      </c>
      <c r="GQ57" s="2">
        <v>0</v>
      </c>
      <c r="GR57" s="2">
        <v>0</v>
      </c>
      <c r="GS57" s="2">
        <v>0</v>
      </c>
      <c r="GT57" s="2">
        <v>0</v>
      </c>
      <c r="GU57" s="2">
        <v>1</v>
      </c>
      <c r="GV57" s="2">
        <v>0</v>
      </c>
      <c r="AVT57" s="1">
        <v>136623925</v>
      </c>
      <c r="AVU57" s="1" t="s">
        <v>2716</v>
      </c>
      <c r="AVW57" s="1">
        <v>314</v>
      </c>
    </row>
    <row r="58" spans="1:981 1268:1271" x14ac:dyDescent="0.3">
      <c r="A58" s="1" t="s">
        <v>2717</v>
      </c>
      <c r="B58" s="1" t="s">
        <v>2718</v>
      </c>
      <c r="C58" s="1" t="s">
        <v>2719</v>
      </c>
      <c r="D58" s="1" t="s">
        <v>2442</v>
      </c>
      <c r="E58" s="1">
        <v>356676102903926</v>
      </c>
      <c r="F58" s="1" t="s">
        <v>2442</v>
      </c>
      <c r="I58" s="1" t="s">
        <v>1659</v>
      </c>
      <c r="J58" s="1" t="s">
        <v>2346</v>
      </c>
      <c r="K58" s="1" t="s">
        <v>2346</v>
      </c>
      <c r="N58" s="1" t="s">
        <v>1170</v>
      </c>
      <c r="O58" s="1">
        <v>0</v>
      </c>
      <c r="P58" s="1">
        <v>0</v>
      </c>
      <c r="Q58" s="1">
        <v>1</v>
      </c>
      <c r="R58" s="1">
        <v>0</v>
      </c>
      <c r="S58" s="1">
        <v>0</v>
      </c>
      <c r="ZS58" s="1" t="s">
        <v>2720</v>
      </c>
      <c r="ZT58" s="63" t="s">
        <v>2477</v>
      </c>
      <c r="ZV58" s="1" t="s">
        <v>1172</v>
      </c>
      <c r="ZX58" s="1" t="s">
        <v>1156</v>
      </c>
      <c r="ABE58" s="1" t="s">
        <v>1173</v>
      </c>
      <c r="ABF58" s="1">
        <v>1</v>
      </c>
      <c r="ABG58" s="1">
        <v>0</v>
      </c>
      <c r="ABH58" s="1">
        <v>0</v>
      </c>
      <c r="ABI58" s="1">
        <v>0</v>
      </c>
      <c r="ABJ58" s="1">
        <v>0</v>
      </c>
      <c r="ABL58" s="1" t="s">
        <v>1177</v>
      </c>
      <c r="ABM58" s="1">
        <v>0</v>
      </c>
      <c r="ABN58" s="1">
        <v>0</v>
      </c>
      <c r="ABO58" s="1">
        <v>0</v>
      </c>
      <c r="ABP58" s="1">
        <v>0</v>
      </c>
      <c r="ABQ58" s="1">
        <v>0</v>
      </c>
      <c r="ABR58" s="1">
        <v>0</v>
      </c>
      <c r="ABS58" s="1">
        <v>0</v>
      </c>
      <c r="ABT58" s="1">
        <v>0</v>
      </c>
      <c r="ABU58" s="1">
        <v>0</v>
      </c>
      <c r="ABV58" s="1">
        <v>0</v>
      </c>
      <c r="ABW58" s="1">
        <v>0</v>
      </c>
      <c r="ABX58" s="1">
        <v>1</v>
      </c>
      <c r="ABZ58" s="1">
        <v>11</v>
      </c>
      <c r="ACA58" s="1" t="s">
        <v>1155</v>
      </c>
      <c r="ACJ58" s="1" t="s">
        <v>1156</v>
      </c>
      <c r="ACK58" s="1" t="s">
        <v>1840</v>
      </c>
      <c r="ACM58" s="1" t="s">
        <v>1155</v>
      </c>
      <c r="ACN58" s="1">
        <v>1194</v>
      </c>
      <c r="ACO58" s="1">
        <v>570</v>
      </c>
      <c r="ACP58" s="1">
        <v>624</v>
      </c>
      <c r="ACQ58" s="1">
        <v>624</v>
      </c>
      <c r="ACR58" s="1">
        <v>1194</v>
      </c>
      <c r="ACT58" s="1">
        <v>6</v>
      </c>
      <c r="ACU58" s="1">
        <v>16</v>
      </c>
      <c r="ACV58" s="1" t="s">
        <v>1156</v>
      </c>
      <c r="ACW58" s="1" t="s">
        <v>1186</v>
      </c>
      <c r="ACX58" s="1" t="s">
        <v>1880</v>
      </c>
      <c r="ACY58" s="1">
        <v>0</v>
      </c>
      <c r="ACZ58" s="1">
        <v>0</v>
      </c>
      <c r="ADA58" s="1">
        <v>0</v>
      </c>
      <c r="ADB58" s="1">
        <v>0</v>
      </c>
      <c r="ADC58" s="1">
        <v>1</v>
      </c>
      <c r="ADD58" s="1">
        <v>0</v>
      </c>
      <c r="ADE58" s="1">
        <v>0</v>
      </c>
      <c r="ADQ58" s="1">
        <v>0</v>
      </c>
      <c r="ADR58" s="1">
        <v>0</v>
      </c>
      <c r="ADS58" s="1">
        <v>0</v>
      </c>
      <c r="ADT58" s="1">
        <v>0</v>
      </c>
      <c r="ADU58" s="1">
        <v>0</v>
      </c>
      <c r="ADW58" s="1" t="s">
        <v>1156</v>
      </c>
      <c r="ADX58" s="1" t="s">
        <v>1166</v>
      </c>
      <c r="AEG58" s="1" t="s">
        <v>2721</v>
      </c>
      <c r="AEH58" s="1">
        <v>1</v>
      </c>
      <c r="AEI58" s="1">
        <v>0</v>
      </c>
      <c r="AEJ58" s="1">
        <v>0</v>
      </c>
      <c r="AEK58" s="1">
        <v>0</v>
      </c>
      <c r="AEL58" s="1">
        <v>0</v>
      </c>
      <c r="AEM58" s="1">
        <v>0</v>
      </c>
      <c r="AEO58" s="1">
        <v>0</v>
      </c>
      <c r="AEP58" s="1">
        <v>0</v>
      </c>
      <c r="AEQ58" s="1">
        <v>0</v>
      </c>
      <c r="AER58" s="1">
        <v>0</v>
      </c>
      <c r="AES58" s="1">
        <v>0</v>
      </c>
      <c r="AEU58" s="1" t="s">
        <v>1155</v>
      </c>
      <c r="AFL58" s="1">
        <v>11</v>
      </c>
      <c r="AFM58" s="1">
        <v>1</v>
      </c>
      <c r="AFN58" s="1">
        <v>10</v>
      </c>
      <c r="AFO58" s="1">
        <v>10</v>
      </c>
      <c r="AFP58" s="1">
        <v>11</v>
      </c>
      <c r="AFR58" s="1" t="s">
        <v>1156</v>
      </c>
      <c r="AFS58" s="1" t="s">
        <v>1166</v>
      </c>
      <c r="AGA58" s="1" t="s">
        <v>2706</v>
      </c>
      <c r="AGB58" s="1">
        <v>1</v>
      </c>
      <c r="AGC58" s="1">
        <v>0</v>
      </c>
      <c r="AGD58" s="1">
        <v>0</v>
      </c>
      <c r="AGE58" s="1">
        <v>0</v>
      </c>
      <c r="AGF58" s="1">
        <v>0</v>
      </c>
      <c r="AGH58" s="1" t="s">
        <v>1174</v>
      </c>
      <c r="AGI58" s="1" t="s">
        <v>1187</v>
      </c>
      <c r="AGJ58" s="1" t="s">
        <v>1155</v>
      </c>
      <c r="AHQ58" s="1" t="s">
        <v>1162</v>
      </c>
      <c r="AHR58" s="1">
        <v>0</v>
      </c>
      <c r="AHS58" s="1">
        <v>0</v>
      </c>
      <c r="AHT58" s="1">
        <v>1</v>
      </c>
      <c r="AHU58" s="1">
        <v>0</v>
      </c>
      <c r="AHV58" s="1">
        <v>0</v>
      </c>
      <c r="AHX58" s="1" t="s">
        <v>2722</v>
      </c>
      <c r="AHY58" s="1">
        <v>1</v>
      </c>
      <c r="AHZ58" s="1">
        <v>0</v>
      </c>
      <c r="AIA58" s="1">
        <v>0</v>
      </c>
      <c r="AIB58" s="1">
        <v>0</v>
      </c>
      <c r="AIC58" s="1">
        <v>0</v>
      </c>
      <c r="AID58" s="1">
        <v>0</v>
      </c>
      <c r="AIE58" s="1">
        <v>0</v>
      </c>
      <c r="AIF58" s="1">
        <v>0</v>
      </c>
      <c r="AIG58" s="1">
        <v>0</v>
      </c>
      <c r="AIH58" s="1">
        <v>0</v>
      </c>
      <c r="AII58" s="1">
        <v>0</v>
      </c>
      <c r="AIK58" s="1" t="s">
        <v>2478</v>
      </c>
      <c r="AIL58" s="1">
        <v>0</v>
      </c>
      <c r="AIM58" s="1">
        <v>0</v>
      </c>
      <c r="AIN58" s="1">
        <v>0</v>
      </c>
      <c r="AIO58" s="1">
        <v>0</v>
      </c>
      <c r="AIP58" s="1">
        <v>0</v>
      </c>
      <c r="AIQ58" s="1">
        <v>0</v>
      </c>
      <c r="AIR58" s="1">
        <v>0</v>
      </c>
      <c r="AIS58" s="1">
        <v>0</v>
      </c>
      <c r="AIT58" s="1">
        <v>1</v>
      </c>
      <c r="AIU58" s="1">
        <v>0</v>
      </c>
      <c r="AIV58" s="1">
        <v>0</v>
      </c>
      <c r="AIW58" s="1">
        <v>0</v>
      </c>
      <c r="AIX58" s="1">
        <v>0</v>
      </c>
      <c r="AIZ58" s="1" t="s">
        <v>1156</v>
      </c>
      <c r="AJA58" s="1" t="s">
        <v>1158</v>
      </c>
      <c r="AJB58" s="1">
        <v>0</v>
      </c>
      <c r="AJC58" s="1">
        <v>0</v>
      </c>
      <c r="AJD58" s="1">
        <v>0</v>
      </c>
      <c r="AJE58" s="1">
        <v>0</v>
      </c>
      <c r="AJF58" s="1">
        <v>1</v>
      </c>
      <c r="AJG58" s="1">
        <v>0</v>
      </c>
      <c r="AJH58" s="1">
        <v>0</v>
      </c>
      <c r="AJJ58" s="1" t="s">
        <v>2306</v>
      </c>
      <c r="AJK58" s="1">
        <v>0</v>
      </c>
      <c r="AJL58" s="1">
        <v>0</v>
      </c>
      <c r="AJM58" s="1">
        <v>0</v>
      </c>
      <c r="AJN58" s="1">
        <v>0</v>
      </c>
      <c r="AJO58" s="1">
        <v>0</v>
      </c>
      <c r="AJP58" s="1">
        <v>0</v>
      </c>
      <c r="AJQ58" s="1">
        <v>0</v>
      </c>
      <c r="AJR58" s="1">
        <v>1</v>
      </c>
      <c r="AJS58" s="1">
        <v>0</v>
      </c>
      <c r="AJT58" s="1">
        <v>0</v>
      </c>
      <c r="AJU58" s="1">
        <v>0</v>
      </c>
      <c r="AJV58" s="1">
        <v>0</v>
      </c>
      <c r="AJX58" s="1" t="s">
        <v>1155</v>
      </c>
      <c r="AJY58" s="1" t="s">
        <v>1180</v>
      </c>
      <c r="AJZ58" s="1">
        <v>1</v>
      </c>
      <c r="AKA58" s="1">
        <v>0</v>
      </c>
      <c r="AKB58" s="1">
        <v>0</v>
      </c>
      <c r="AKC58" s="1">
        <v>0</v>
      </c>
      <c r="AKD58" s="1">
        <v>0</v>
      </c>
      <c r="AKF58" s="1" t="s">
        <v>1388</v>
      </c>
      <c r="AKG58" s="1">
        <v>1</v>
      </c>
      <c r="AKH58" s="1">
        <v>0</v>
      </c>
      <c r="AKI58" s="1">
        <v>0</v>
      </c>
      <c r="AKJ58" s="1">
        <v>0</v>
      </c>
      <c r="AKK58" s="1">
        <v>0</v>
      </c>
      <c r="AKL58" s="1">
        <v>0</v>
      </c>
      <c r="AKM58" s="1">
        <v>0</v>
      </c>
      <c r="AKN58" s="1">
        <v>0</v>
      </c>
      <c r="AKO58" s="1">
        <v>0</v>
      </c>
      <c r="AKP58" s="1">
        <v>0</v>
      </c>
      <c r="AKQ58" s="1">
        <v>0</v>
      </c>
      <c r="AKR58" s="1">
        <v>0</v>
      </c>
      <c r="AVT58" s="1">
        <v>136623981</v>
      </c>
      <c r="AVU58" s="1" t="s">
        <v>2723</v>
      </c>
      <c r="AVW58" s="1">
        <v>316</v>
      </c>
    </row>
    <row r="59" spans="1:981 1268:1271" x14ac:dyDescent="0.3">
      <c r="A59" s="1" t="s">
        <v>2724</v>
      </c>
      <c r="B59" s="1" t="s">
        <v>2725</v>
      </c>
      <c r="C59" s="1" t="s">
        <v>2726</v>
      </c>
      <c r="D59" s="1" t="s">
        <v>2442</v>
      </c>
      <c r="E59" s="1">
        <v>356676101957824</v>
      </c>
      <c r="F59" s="1" t="s">
        <v>2442</v>
      </c>
      <c r="I59" s="1" t="s">
        <v>1659</v>
      </c>
      <c r="J59" s="1" t="s">
        <v>2346</v>
      </c>
      <c r="K59" s="1" t="s">
        <v>2346</v>
      </c>
      <c r="N59" s="1" t="s">
        <v>1153</v>
      </c>
      <c r="O59" s="1">
        <v>1</v>
      </c>
      <c r="P59" s="1">
        <v>0</v>
      </c>
      <c r="Q59" s="1">
        <v>0</v>
      </c>
      <c r="R59" s="1">
        <v>0</v>
      </c>
      <c r="S59" s="1">
        <v>0</v>
      </c>
      <c r="U59" s="1" t="s">
        <v>1183</v>
      </c>
      <c r="W59" s="1" t="s">
        <v>1156</v>
      </c>
      <c r="X59" s="1" t="s">
        <v>1156</v>
      </c>
      <c r="AN59" s="1" t="s">
        <v>1182</v>
      </c>
      <c r="AO59" s="1">
        <v>500</v>
      </c>
      <c r="AP59" s="1" t="s">
        <v>1398</v>
      </c>
      <c r="AR59" s="1" t="s">
        <v>1710</v>
      </c>
      <c r="AS59" s="1" t="s">
        <v>1833</v>
      </c>
      <c r="AT59" s="1" t="s">
        <v>1156</v>
      </c>
      <c r="AU59" s="1" t="s">
        <v>1157</v>
      </c>
      <c r="AV59" s="1" t="s">
        <v>2548</v>
      </c>
      <c r="AW59" s="1">
        <v>1</v>
      </c>
      <c r="AX59" s="1">
        <v>0</v>
      </c>
      <c r="AY59" s="1">
        <v>1</v>
      </c>
      <c r="AZ59" s="1">
        <v>1</v>
      </c>
      <c r="BA59" s="1">
        <v>0</v>
      </c>
      <c r="BB59" s="1">
        <v>0</v>
      </c>
      <c r="BC59" s="1">
        <v>0</v>
      </c>
      <c r="BD59" s="1">
        <v>0</v>
      </c>
      <c r="BO59" s="1" t="s">
        <v>2727</v>
      </c>
      <c r="BP59" s="1">
        <v>0</v>
      </c>
      <c r="BQ59" s="1">
        <v>0</v>
      </c>
      <c r="BR59" s="1">
        <v>0</v>
      </c>
      <c r="BS59" s="1">
        <v>0</v>
      </c>
      <c r="BT59" s="1">
        <v>1</v>
      </c>
      <c r="BU59" s="1">
        <v>1</v>
      </c>
      <c r="BV59" s="1">
        <v>0</v>
      </c>
      <c r="BW59" s="1">
        <v>0</v>
      </c>
      <c r="BX59" s="1">
        <v>0</v>
      </c>
      <c r="BY59" s="1">
        <v>0</v>
      </c>
      <c r="BZ59" s="1">
        <v>0</v>
      </c>
      <c r="CA59" s="1">
        <v>0</v>
      </c>
      <c r="CC59" s="1" t="s">
        <v>1155</v>
      </c>
      <c r="DQ59" s="1" t="s">
        <v>1164</v>
      </c>
      <c r="DR59" s="2">
        <v>0</v>
      </c>
      <c r="DS59" s="2">
        <v>0</v>
      </c>
      <c r="DT59" s="2">
        <v>0</v>
      </c>
      <c r="DU59" s="2">
        <v>0</v>
      </c>
      <c r="DV59" s="2">
        <v>1</v>
      </c>
      <c r="DX59" s="1" t="s">
        <v>2728</v>
      </c>
      <c r="DY59" s="2">
        <v>1</v>
      </c>
      <c r="DZ59" s="2">
        <v>1</v>
      </c>
      <c r="EA59" s="2">
        <v>1</v>
      </c>
      <c r="EB59" s="2">
        <v>1</v>
      </c>
      <c r="EC59" s="2">
        <v>0</v>
      </c>
      <c r="ED59" s="2">
        <v>0</v>
      </c>
      <c r="EE59" s="2">
        <v>0</v>
      </c>
      <c r="EF59" s="2">
        <v>1</v>
      </c>
      <c r="EG59" s="2">
        <v>1</v>
      </c>
      <c r="EH59" s="2">
        <v>0</v>
      </c>
      <c r="EI59" s="2">
        <v>0</v>
      </c>
      <c r="EJ59" s="2">
        <v>0</v>
      </c>
      <c r="EK59" s="2">
        <v>1</v>
      </c>
      <c r="EM59" s="1" t="s">
        <v>1164</v>
      </c>
      <c r="EN59" s="2">
        <v>0</v>
      </c>
      <c r="EO59" s="2">
        <v>0</v>
      </c>
      <c r="EP59" s="2">
        <v>0</v>
      </c>
      <c r="EQ59" s="2">
        <v>0</v>
      </c>
      <c r="ER59" s="2">
        <v>0</v>
      </c>
      <c r="ES59" s="2">
        <v>0</v>
      </c>
      <c r="ET59" s="2">
        <v>0</v>
      </c>
      <c r="EU59" s="2">
        <v>0</v>
      </c>
      <c r="EV59" s="2">
        <v>0</v>
      </c>
      <c r="EW59" s="2">
        <v>1</v>
      </c>
      <c r="EX59" s="2">
        <v>0</v>
      </c>
      <c r="EY59" s="2">
        <v>0</v>
      </c>
      <c r="EZ59" s="2">
        <v>0</v>
      </c>
      <c r="FB59" s="1" t="s">
        <v>1155</v>
      </c>
      <c r="GI59" s="1" t="s">
        <v>1162</v>
      </c>
      <c r="GJ59" s="2">
        <v>0</v>
      </c>
      <c r="GK59" s="2">
        <v>0</v>
      </c>
      <c r="GL59" s="2">
        <v>0</v>
      </c>
      <c r="GM59" s="2">
        <v>0</v>
      </c>
      <c r="GN59" s="2">
        <v>0</v>
      </c>
      <c r="GO59" s="2">
        <v>0</v>
      </c>
      <c r="GP59" s="2">
        <v>0</v>
      </c>
      <c r="GQ59" s="2">
        <v>0</v>
      </c>
      <c r="GR59" s="2">
        <v>0</v>
      </c>
      <c r="GS59" s="2">
        <v>0</v>
      </c>
      <c r="GT59" s="2">
        <v>0</v>
      </c>
      <c r="GU59" s="2">
        <v>1</v>
      </c>
      <c r="GV59" s="2">
        <v>0</v>
      </c>
      <c r="AVT59" s="1">
        <v>136624053</v>
      </c>
      <c r="AVU59" s="1" t="s">
        <v>2729</v>
      </c>
      <c r="AVW59" s="1">
        <v>318</v>
      </c>
    </row>
    <row r="60" spans="1:981 1268:1271" x14ac:dyDescent="0.3">
      <c r="A60" s="1" t="s">
        <v>2730</v>
      </c>
      <c r="B60" s="1" t="s">
        <v>2731</v>
      </c>
      <c r="C60" s="1" t="s">
        <v>2732</v>
      </c>
      <c r="D60" s="1" t="s">
        <v>2442</v>
      </c>
      <c r="E60" s="1">
        <v>356676102903926</v>
      </c>
      <c r="F60" s="1" t="s">
        <v>2442</v>
      </c>
      <c r="I60" s="1" t="s">
        <v>1659</v>
      </c>
      <c r="J60" s="1" t="s">
        <v>2346</v>
      </c>
      <c r="K60" s="1" t="s">
        <v>2346</v>
      </c>
      <c r="N60" s="1" t="s">
        <v>1170</v>
      </c>
      <c r="O60" s="1">
        <v>0</v>
      </c>
      <c r="P60" s="1">
        <v>0</v>
      </c>
      <c r="Q60" s="1">
        <v>1</v>
      </c>
      <c r="R60" s="1">
        <v>0</v>
      </c>
      <c r="S60" s="1">
        <v>0</v>
      </c>
      <c r="ZS60" s="57" t="s">
        <v>2733</v>
      </c>
      <c r="ZT60" s="63" t="s">
        <v>1171</v>
      </c>
      <c r="ZU60" s="57"/>
      <c r="ZV60" s="1" t="s">
        <v>1176</v>
      </c>
      <c r="ZX60" s="1" t="s">
        <v>1156</v>
      </c>
      <c r="ABE60" s="1" t="s">
        <v>1173</v>
      </c>
      <c r="ABF60" s="1">
        <v>1</v>
      </c>
      <c r="ABG60" s="1">
        <v>0</v>
      </c>
      <c r="ABH60" s="1">
        <v>0</v>
      </c>
      <c r="ABI60" s="1">
        <v>0</v>
      </c>
      <c r="ABJ60" s="1">
        <v>0</v>
      </c>
      <c r="ABL60" s="1" t="s">
        <v>1158</v>
      </c>
      <c r="ABM60" s="1">
        <v>0</v>
      </c>
      <c r="ABN60" s="1">
        <v>0</v>
      </c>
      <c r="ABO60" s="1">
        <v>0</v>
      </c>
      <c r="ABP60" s="1">
        <v>0</v>
      </c>
      <c r="ABQ60" s="1">
        <v>0</v>
      </c>
      <c r="ABR60" s="1">
        <v>1</v>
      </c>
      <c r="ABS60" s="1">
        <v>0</v>
      </c>
      <c r="ABT60" s="1">
        <v>0</v>
      </c>
      <c r="ABU60" s="1">
        <v>0</v>
      </c>
      <c r="ABV60" s="1">
        <v>0</v>
      </c>
      <c r="ABW60" s="1">
        <v>0</v>
      </c>
      <c r="ABX60" s="1">
        <v>0</v>
      </c>
      <c r="ABZ60" s="1">
        <v>4</v>
      </c>
      <c r="ACA60" s="1" t="s">
        <v>1156</v>
      </c>
      <c r="ACB60" s="1">
        <v>18</v>
      </c>
      <c r="ACC60" s="1" t="s">
        <v>1156</v>
      </c>
      <c r="ACD60" s="1">
        <v>9</v>
      </c>
      <c r="ACE60" s="1">
        <v>9</v>
      </c>
      <c r="ACF60" s="1">
        <v>9</v>
      </c>
      <c r="ACG60" s="1">
        <v>18</v>
      </c>
      <c r="ACI60" s="1" t="s">
        <v>1156</v>
      </c>
      <c r="ACJ60" s="1" t="s">
        <v>1156</v>
      </c>
      <c r="ACK60" s="1" t="s">
        <v>1840</v>
      </c>
      <c r="ACM60" s="1" t="s">
        <v>1156</v>
      </c>
      <c r="ACN60" s="1">
        <v>745</v>
      </c>
      <c r="ACO60" s="1">
        <v>445</v>
      </c>
      <c r="ACP60" s="1">
        <v>300</v>
      </c>
      <c r="ACQ60" s="1">
        <v>300</v>
      </c>
      <c r="ACR60" s="1">
        <v>745</v>
      </c>
      <c r="ACT60" s="1">
        <v>5</v>
      </c>
      <c r="ACU60" s="1">
        <v>7</v>
      </c>
      <c r="ACV60" s="1" t="s">
        <v>1155</v>
      </c>
      <c r="ADQ60" s="1">
        <v>4</v>
      </c>
      <c r="ADR60" s="1">
        <v>1</v>
      </c>
      <c r="ADS60" s="1">
        <v>3</v>
      </c>
      <c r="ADT60" s="1">
        <v>3</v>
      </c>
      <c r="ADU60" s="1">
        <v>4</v>
      </c>
      <c r="ADW60" s="1" t="s">
        <v>1155</v>
      </c>
      <c r="AEO60" s="1">
        <v>0</v>
      </c>
      <c r="AEP60" s="1">
        <v>0</v>
      </c>
      <c r="AEQ60" s="1">
        <v>0</v>
      </c>
      <c r="AER60" s="1">
        <v>0</v>
      </c>
      <c r="AES60" s="1">
        <v>0</v>
      </c>
      <c r="AEU60" s="1" t="s">
        <v>1155</v>
      </c>
      <c r="AFL60" s="1">
        <v>4</v>
      </c>
      <c r="AFM60" s="1">
        <v>1</v>
      </c>
      <c r="AFN60" s="1">
        <v>3</v>
      </c>
      <c r="AFO60" s="1">
        <v>3</v>
      </c>
      <c r="AFP60" s="1">
        <v>4</v>
      </c>
      <c r="AFR60" s="1" t="s">
        <v>1155</v>
      </c>
      <c r="AGH60" s="1" t="s">
        <v>1174</v>
      </c>
      <c r="AGI60" s="1" t="s">
        <v>1174</v>
      </c>
      <c r="AGJ60" s="1" t="s">
        <v>1155</v>
      </c>
      <c r="AHQ60" s="1" t="s">
        <v>1162</v>
      </c>
      <c r="AHR60" s="1">
        <v>0</v>
      </c>
      <c r="AHS60" s="1">
        <v>0</v>
      </c>
      <c r="AHT60" s="1">
        <v>1</v>
      </c>
      <c r="AHU60" s="1">
        <v>0</v>
      </c>
      <c r="AHV60" s="1">
        <v>0</v>
      </c>
      <c r="AHX60" s="1" t="s">
        <v>2722</v>
      </c>
      <c r="AHY60" s="1">
        <v>1</v>
      </c>
      <c r="AHZ60" s="1">
        <v>0</v>
      </c>
      <c r="AIA60" s="1">
        <v>0</v>
      </c>
      <c r="AIB60" s="1">
        <v>0</v>
      </c>
      <c r="AIC60" s="1">
        <v>0</v>
      </c>
      <c r="AID60" s="1">
        <v>0</v>
      </c>
      <c r="AIE60" s="1">
        <v>0</v>
      </c>
      <c r="AIF60" s="1">
        <v>0</v>
      </c>
      <c r="AIG60" s="1">
        <v>0</v>
      </c>
      <c r="AIH60" s="1">
        <v>0</v>
      </c>
      <c r="AII60" s="1">
        <v>0</v>
      </c>
      <c r="AIK60" s="1" t="s">
        <v>2621</v>
      </c>
      <c r="AIL60" s="1">
        <v>0</v>
      </c>
      <c r="AIM60" s="1">
        <v>0</v>
      </c>
      <c r="AIN60" s="1">
        <v>0</v>
      </c>
      <c r="AIO60" s="1">
        <v>1</v>
      </c>
      <c r="AIP60" s="1">
        <v>0</v>
      </c>
      <c r="AIQ60" s="1">
        <v>0</v>
      </c>
      <c r="AIR60" s="1">
        <v>0</v>
      </c>
      <c r="AIS60" s="1">
        <v>0</v>
      </c>
      <c r="AIT60" s="1">
        <v>0</v>
      </c>
      <c r="AIU60" s="1">
        <v>0</v>
      </c>
      <c r="AIV60" s="1">
        <v>0</v>
      </c>
      <c r="AIW60" s="1">
        <v>0</v>
      </c>
      <c r="AIX60" s="1">
        <v>0</v>
      </c>
      <c r="AIZ60" s="1" t="s">
        <v>1155</v>
      </c>
      <c r="AKF60" s="1" t="s">
        <v>2734</v>
      </c>
      <c r="AKG60" s="1">
        <v>0</v>
      </c>
      <c r="AKH60" s="1">
        <v>1</v>
      </c>
      <c r="AKI60" s="1">
        <v>0</v>
      </c>
      <c r="AKJ60" s="1">
        <v>0</v>
      </c>
      <c r="AKK60" s="1">
        <v>0</v>
      </c>
      <c r="AKL60" s="1">
        <v>0</v>
      </c>
      <c r="AKM60" s="1">
        <v>0</v>
      </c>
      <c r="AKN60" s="1">
        <v>0</v>
      </c>
      <c r="AKO60" s="1">
        <v>0</v>
      </c>
      <c r="AKP60" s="1">
        <v>0</v>
      </c>
      <c r="AKQ60" s="1">
        <v>0</v>
      </c>
      <c r="AKR60" s="1">
        <v>0</v>
      </c>
      <c r="AVT60" s="1">
        <v>136624071</v>
      </c>
      <c r="AVU60" s="1" t="s">
        <v>2735</v>
      </c>
      <c r="AVW60" s="1">
        <v>319</v>
      </c>
    </row>
    <row r="61" spans="1:981 1268:1271" x14ac:dyDescent="0.3">
      <c r="A61" s="1" t="s">
        <v>2736</v>
      </c>
      <c r="B61" s="1" t="s">
        <v>2737</v>
      </c>
      <c r="C61" s="1" t="s">
        <v>2738</v>
      </c>
      <c r="D61" s="1" t="s">
        <v>2442</v>
      </c>
      <c r="E61" s="1">
        <v>356676102903926</v>
      </c>
      <c r="F61" s="1" t="s">
        <v>2442</v>
      </c>
      <c r="I61" s="1" t="s">
        <v>1659</v>
      </c>
      <c r="J61" s="1" t="s">
        <v>2346</v>
      </c>
      <c r="K61" s="1" t="s">
        <v>2346</v>
      </c>
      <c r="N61" s="1" t="s">
        <v>2511</v>
      </c>
      <c r="O61" s="1">
        <v>0</v>
      </c>
      <c r="P61" s="1">
        <v>1</v>
      </c>
      <c r="Q61" s="1">
        <v>0</v>
      </c>
      <c r="R61" s="1">
        <v>0</v>
      </c>
      <c r="S61" s="1">
        <v>0</v>
      </c>
      <c r="GZ61" s="1" t="s">
        <v>2512</v>
      </c>
      <c r="HB61" s="1" t="s">
        <v>2513</v>
      </c>
      <c r="HD61" s="1" t="s">
        <v>1156</v>
      </c>
      <c r="HE61" s="1" t="s">
        <v>1156</v>
      </c>
      <c r="HT61" s="1" t="s">
        <v>1156</v>
      </c>
      <c r="HU61" s="1" t="s">
        <v>1156</v>
      </c>
      <c r="HV61" s="1">
        <v>3</v>
      </c>
      <c r="HW61" s="1">
        <v>3</v>
      </c>
      <c r="HX61" s="1" t="s">
        <v>1156</v>
      </c>
      <c r="HY61" s="1" t="s">
        <v>1156</v>
      </c>
      <c r="IB61" s="1" t="s">
        <v>1156</v>
      </c>
      <c r="IC61" s="1">
        <v>50</v>
      </c>
      <c r="ID61" s="1" t="s">
        <v>1164</v>
      </c>
      <c r="IE61" s="1" t="s">
        <v>1196</v>
      </c>
      <c r="IG61" s="1" t="s">
        <v>1155</v>
      </c>
      <c r="JB61" s="1" t="s">
        <v>1158</v>
      </c>
      <c r="JC61" s="1">
        <v>0</v>
      </c>
      <c r="JD61" s="1">
        <v>0</v>
      </c>
      <c r="JE61" s="1">
        <v>0</v>
      </c>
      <c r="JF61" s="1">
        <v>0</v>
      </c>
      <c r="JG61" s="1">
        <v>0</v>
      </c>
      <c r="JH61" s="1">
        <v>1</v>
      </c>
      <c r="JI61" s="1">
        <v>0</v>
      </c>
      <c r="JJ61" s="1">
        <v>0</v>
      </c>
      <c r="JK61" s="1">
        <v>0</v>
      </c>
      <c r="JL61" s="1">
        <v>0</v>
      </c>
      <c r="JM61" s="1">
        <v>0</v>
      </c>
      <c r="JN61" s="1">
        <v>0</v>
      </c>
      <c r="JP61" s="1" t="s">
        <v>1155</v>
      </c>
      <c r="LD61" s="1" t="s">
        <v>1162</v>
      </c>
      <c r="LE61" s="1">
        <v>0</v>
      </c>
      <c r="LF61" s="1">
        <v>0</v>
      </c>
      <c r="LG61" s="1">
        <v>1</v>
      </c>
      <c r="LH61" s="1">
        <v>0</v>
      </c>
      <c r="LI61" s="1">
        <v>0</v>
      </c>
      <c r="LK61" s="1" t="s">
        <v>1164</v>
      </c>
      <c r="LL61" s="1">
        <v>0</v>
      </c>
      <c r="LM61" s="1">
        <v>0</v>
      </c>
      <c r="LN61" s="1">
        <v>0</v>
      </c>
      <c r="LO61" s="1">
        <v>0</v>
      </c>
      <c r="LP61" s="1">
        <v>0</v>
      </c>
      <c r="LQ61" s="1">
        <v>0</v>
      </c>
      <c r="LR61" s="1">
        <v>0</v>
      </c>
      <c r="LS61" s="1">
        <v>0</v>
      </c>
      <c r="LT61" s="1">
        <v>0</v>
      </c>
      <c r="LU61" s="1">
        <v>1</v>
      </c>
      <c r="LV61" s="1">
        <v>0</v>
      </c>
      <c r="LW61" s="1">
        <v>0</v>
      </c>
      <c r="LX61" s="1">
        <v>0</v>
      </c>
      <c r="LZ61" s="1" t="s">
        <v>2621</v>
      </c>
      <c r="MA61" s="1">
        <v>0</v>
      </c>
      <c r="MB61" s="1">
        <v>0</v>
      </c>
      <c r="MC61" s="1">
        <v>0</v>
      </c>
      <c r="MD61" s="1">
        <v>1</v>
      </c>
      <c r="ME61" s="1">
        <v>0</v>
      </c>
      <c r="MF61" s="1">
        <v>0</v>
      </c>
      <c r="MG61" s="1">
        <v>0</v>
      </c>
      <c r="MH61" s="1">
        <v>0</v>
      </c>
      <c r="MI61" s="1">
        <v>0</v>
      </c>
      <c r="MJ61" s="1">
        <v>0</v>
      </c>
      <c r="MK61" s="1">
        <v>0</v>
      </c>
      <c r="ML61" s="1">
        <v>0</v>
      </c>
      <c r="MM61" s="1">
        <v>0</v>
      </c>
      <c r="MO61" s="1" t="s">
        <v>1155</v>
      </c>
      <c r="NV61" s="1" t="s">
        <v>2580</v>
      </c>
      <c r="NW61" s="1">
        <v>0</v>
      </c>
      <c r="NX61" s="1">
        <v>0</v>
      </c>
      <c r="NY61" s="1">
        <v>0</v>
      </c>
      <c r="NZ61" s="1">
        <v>0</v>
      </c>
      <c r="OA61" s="1">
        <v>1</v>
      </c>
      <c r="OB61" s="1">
        <v>0</v>
      </c>
      <c r="OC61" s="1">
        <v>0</v>
      </c>
      <c r="OD61" s="1">
        <v>0</v>
      </c>
      <c r="OE61" s="1">
        <v>0</v>
      </c>
      <c r="OF61" s="1">
        <v>0</v>
      </c>
      <c r="OG61" s="1">
        <v>0</v>
      </c>
      <c r="OH61" s="1">
        <v>0</v>
      </c>
      <c r="OI61" s="1">
        <v>0</v>
      </c>
      <c r="AVT61" s="1">
        <v>136624163</v>
      </c>
      <c r="AVU61" s="1" t="s">
        <v>2739</v>
      </c>
      <c r="AVW61" s="1">
        <v>321</v>
      </c>
    </row>
    <row r="62" spans="1:981 1268:1271" x14ac:dyDescent="0.3">
      <c r="A62" s="1" t="s">
        <v>2740</v>
      </c>
      <c r="B62" s="1" t="s">
        <v>2741</v>
      </c>
      <c r="C62" s="1" t="s">
        <v>2742</v>
      </c>
      <c r="D62" s="1" t="s">
        <v>2442</v>
      </c>
      <c r="E62" s="1">
        <v>356676102903926</v>
      </c>
      <c r="F62" s="1" t="s">
        <v>2442</v>
      </c>
      <c r="I62" s="1" t="s">
        <v>1659</v>
      </c>
      <c r="J62" s="1" t="s">
        <v>2346</v>
      </c>
      <c r="K62" s="1" t="s">
        <v>2346</v>
      </c>
      <c r="N62" s="1" t="s">
        <v>2511</v>
      </c>
      <c r="O62" s="1">
        <v>0</v>
      </c>
      <c r="P62" s="1">
        <v>1</v>
      </c>
      <c r="Q62" s="1">
        <v>0</v>
      </c>
      <c r="R62" s="1">
        <v>0</v>
      </c>
      <c r="S62" s="1">
        <v>0</v>
      </c>
      <c r="GZ62" s="1" t="s">
        <v>2512</v>
      </c>
      <c r="HB62" s="1" t="s">
        <v>2513</v>
      </c>
      <c r="HD62" s="1" t="s">
        <v>1156</v>
      </c>
      <c r="HE62" s="1" t="s">
        <v>1156</v>
      </c>
      <c r="HT62" s="1" t="s">
        <v>1156</v>
      </c>
      <c r="HU62" s="1" t="s">
        <v>1156</v>
      </c>
      <c r="HV62" s="1">
        <v>3</v>
      </c>
      <c r="HW62" s="1">
        <v>3</v>
      </c>
      <c r="HX62" s="1" t="s">
        <v>1156</v>
      </c>
      <c r="HY62" s="1" t="s">
        <v>1156</v>
      </c>
      <c r="IB62" s="1" t="s">
        <v>1156</v>
      </c>
      <c r="IC62" s="1">
        <v>60</v>
      </c>
      <c r="ID62" s="1" t="s">
        <v>1164</v>
      </c>
      <c r="IE62" s="1" t="s">
        <v>1196</v>
      </c>
      <c r="IG62" s="1" t="s">
        <v>1155</v>
      </c>
      <c r="JB62" s="1" t="s">
        <v>1158</v>
      </c>
      <c r="JC62" s="1">
        <v>0</v>
      </c>
      <c r="JD62" s="1">
        <v>0</v>
      </c>
      <c r="JE62" s="1">
        <v>0</v>
      </c>
      <c r="JF62" s="1">
        <v>0</v>
      </c>
      <c r="JG62" s="1">
        <v>0</v>
      </c>
      <c r="JH62" s="1">
        <v>1</v>
      </c>
      <c r="JI62" s="1">
        <v>0</v>
      </c>
      <c r="JJ62" s="1">
        <v>0</v>
      </c>
      <c r="JK62" s="1">
        <v>0</v>
      </c>
      <c r="JL62" s="1">
        <v>0</v>
      </c>
      <c r="JM62" s="1">
        <v>0</v>
      </c>
      <c r="JN62" s="1">
        <v>0</v>
      </c>
      <c r="JP62" s="1" t="s">
        <v>1155</v>
      </c>
      <c r="LD62" s="1" t="s">
        <v>1164</v>
      </c>
      <c r="LE62" s="1">
        <v>0</v>
      </c>
      <c r="LF62" s="1">
        <v>0</v>
      </c>
      <c r="LG62" s="1">
        <v>0</v>
      </c>
      <c r="LH62" s="1">
        <v>0</v>
      </c>
      <c r="LI62" s="1">
        <v>1</v>
      </c>
      <c r="LK62" s="1" t="s">
        <v>1164</v>
      </c>
      <c r="LL62" s="1">
        <v>0</v>
      </c>
      <c r="LM62" s="1">
        <v>0</v>
      </c>
      <c r="LN62" s="1">
        <v>0</v>
      </c>
      <c r="LO62" s="1">
        <v>0</v>
      </c>
      <c r="LP62" s="1">
        <v>0</v>
      </c>
      <c r="LQ62" s="1">
        <v>0</v>
      </c>
      <c r="LR62" s="1">
        <v>0</v>
      </c>
      <c r="LS62" s="1">
        <v>0</v>
      </c>
      <c r="LT62" s="1">
        <v>0</v>
      </c>
      <c r="LU62" s="1">
        <v>1</v>
      </c>
      <c r="LV62" s="1">
        <v>0</v>
      </c>
      <c r="LW62" s="1">
        <v>0</v>
      </c>
      <c r="LX62" s="1">
        <v>0</v>
      </c>
      <c r="LZ62" s="1" t="s">
        <v>1194</v>
      </c>
      <c r="MA62" s="1">
        <v>0</v>
      </c>
      <c r="MB62" s="1">
        <v>0</v>
      </c>
      <c r="MC62" s="1">
        <v>0</v>
      </c>
      <c r="MD62" s="1">
        <v>0</v>
      </c>
      <c r="ME62" s="1">
        <v>1</v>
      </c>
      <c r="MF62" s="1">
        <v>0</v>
      </c>
      <c r="MG62" s="1">
        <v>0</v>
      </c>
      <c r="MH62" s="1">
        <v>0</v>
      </c>
      <c r="MI62" s="1">
        <v>0</v>
      </c>
      <c r="MJ62" s="1">
        <v>0</v>
      </c>
      <c r="MK62" s="1">
        <v>0</v>
      </c>
      <c r="ML62" s="1">
        <v>0</v>
      </c>
      <c r="MM62" s="1">
        <v>0</v>
      </c>
      <c r="MO62" s="1" t="s">
        <v>1155</v>
      </c>
      <c r="NV62" s="1" t="s">
        <v>1162</v>
      </c>
      <c r="NW62" s="1">
        <v>0</v>
      </c>
      <c r="NX62" s="1">
        <v>0</v>
      </c>
      <c r="NY62" s="1">
        <v>0</v>
      </c>
      <c r="NZ62" s="1">
        <v>0</v>
      </c>
      <c r="OA62" s="1">
        <v>0</v>
      </c>
      <c r="OB62" s="1">
        <v>0</v>
      </c>
      <c r="OC62" s="1">
        <v>0</v>
      </c>
      <c r="OD62" s="1">
        <v>0</v>
      </c>
      <c r="OE62" s="1">
        <v>0</v>
      </c>
      <c r="OF62" s="1">
        <v>0</v>
      </c>
      <c r="OG62" s="1">
        <v>0</v>
      </c>
      <c r="OH62" s="1">
        <v>1</v>
      </c>
      <c r="OI62" s="1">
        <v>0</v>
      </c>
      <c r="AVT62" s="1">
        <v>136624269</v>
      </c>
      <c r="AVU62" s="1" t="s">
        <v>2743</v>
      </c>
      <c r="AVW62" s="1">
        <v>324</v>
      </c>
    </row>
    <row r="63" spans="1:981 1268:1271" x14ac:dyDescent="0.3">
      <c r="A63" s="1" t="s">
        <v>2744</v>
      </c>
      <c r="B63" s="1" t="s">
        <v>2745</v>
      </c>
      <c r="C63" s="1" t="s">
        <v>2746</v>
      </c>
      <c r="D63" s="1" t="s">
        <v>2442</v>
      </c>
      <c r="E63" s="1">
        <v>356676102903926</v>
      </c>
      <c r="F63" s="1" t="s">
        <v>2442</v>
      </c>
      <c r="I63" s="1" t="s">
        <v>1659</v>
      </c>
      <c r="J63" s="1" t="s">
        <v>2346</v>
      </c>
      <c r="K63" s="1" t="s">
        <v>2346</v>
      </c>
      <c r="N63" s="1" t="s">
        <v>1153</v>
      </c>
      <c r="O63" s="1">
        <v>1</v>
      </c>
      <c r="P63" s="1">
        <v>0</v>
      </c>
      <c r="Q63" s="1">
        <v>0</v>
      </c>
      <c r="R63" s="1">
        <v>0</v>
      </c>
      <c r="S63" s="1">
        <v>0</v>
      </c>
      <c r="U63" s="1" t="s">
        <v>1190</v>
      </c>
      <c r="W63" s="1" t="s">
        <v>1156</v>
      </c>
      <c r="X63" s="1" t="s">
        <v>1156</v>
      </c>
      <c r="AN63" s="1" t="s">
        <v>1182</v>
      </c>
      <c r="AO63" s="1">
        <v>80</v>
      </c>
      <c r="AP63" s="1" t="s">
        <v>2145</v>
      </c>
      <c r="AR63" s="1" t="s">
        <v>1801</v>
      </c>
      <c r="AS63" s="1" t="s">
        <v>1164</v>
      </c>
      <c r="AT63" s="1" t="s">
        <v>1155</v>
      </c>
      <c r="BO63" s="1" t="s">
        <v>1158</v>
      </c>
      <c r="BP63" s="1">
        <v>0</v>
      </c>
      <c r="BQ63" s="1">
        <v>0</v>
      </c>
      <c r="BR63" s="1">
        <v>0</v>
      </c>
      <c r="BS63" s="1">
        <v>0</v>
      </c>
      <c r="BT63" s="1">
        <v>0</v>
      </c>
      <c r="BU63" s="1">
        <v>1</v>
      </c>
      <c r="BV63" s="1">
        <v>0</v>
      </c>
      <c r="BW63" s="1">
        <v>0</v>
      </c>
      <c r="BX63" s="1">
        <v>0</v>
      </c>
      <c r="BY63" s="1">
        <v>0</v>
      </c>
      <c r="BZ63" s="1">
        <v>0</v>
      </c>
      <c r="CA63" s="1">
        <v>0</v>
      </c>
      <c r="CC63" s="1" t="s">
        <v>1155</v>
      </c>
      <c r="DQ63" s="1" t="s">
        <v>1164</v>
      </c>
      <c r="DR63" s="2">
        <v>0</v>
      </c>
      <c r="DS63" s="2">
        <v>0</v>
      </c>
      <c r="DT63" s="2">
        <v>0</v>
      </c>
      <c r="DU63" s="2">
        <v>0</v>
      </c>
      <c r="DV63" s="2">
        <v>1</v>
      </c>
      <c r="DX63" s="1" t="s">
        <v>1164</v>
      </c>
      <c r="DY63" s="2">
        <v>0</v>
      </c>
      <c r="DZ63" s="2">
        <v>0</v>
      </c>
      <c r="EA63" s="2">
        <v>0</v>
      </c>
      <c r="EB63" s="2">
        <v>0</v>
      </c>
      <c r="EC63" s="2">
        <v>0</v>
      </c>
      <c r="ED63" s="2">
        <v>0</v>
      </c>
      <c r="EE63" s="2">
        <v>0</v>
      </c>
      <c r="EF63" s="2">
        <v>0</v>
      </c>
      <c r="EG63" s="2">
        <v>0</v>
      </c>
      <c r="EH63" s="2">
        <v>1</v>
      </c>
      <c r="EI63" s="2">
        <v>0</v>
      </c>
      <c r="EJ63" s="2">
        <v>0</v>
      </c>
      <c r="EK63" s="2">
        <v>0</v>
      </c>
      <c r="EM63" s="1" t="s">
        <v>1194</v>
      </c>
      <c r="EN63" s="2">
        <v>0</v>
      </c>
      <c r="EO63" s="2">
        <v>0</v>
      </c>
      <c r="EP63" s="2">
        <v>0</v>
      </c>
      <c r="EQ63" s="2">
        <v>0</v>
      </c>
      <c r="ER63" s="2">
        <v>1</v>
      </c>
      <c r="ES63" s="2">
        <v>0</v>
      </c>
      <c r="ET63" s="2">
        <v>0</v>
      </c>
      <c r="EU63" s="2">
        <v>0</v>
      </c>
      <c r="EV63" s="2">
        <v>0</v>
      </c>
      <c r="EW63" s="2">
        <v>0</v>
      </c>
      <c r="EX63" s="2">
        <v>0</v>
      </c>
      <c r="EY63" s="2">
        <v>0</v>
      </c>
      <c r="EZ63" s="2">
        <v>0</v>
      </c>
      <c r="FB63" s="1" t="s">
        <v>1155</v>
      </c>
      <c r="GI63" s="1" t="s">
        <v>2427</v>
      </c>
      <c r="GJ63" s="2">
        <v>0</v>
      </c>
      <c r="GK63" s="2">
        <v>0</v>
      </c>
      <c r="GL63" s="2">
        <v>1</v>
      </c>
      <c r="GM63" s="2">
        <v>0</v>
      </c>
      <c r="GN63" s="2">
        <v>0</v>
      </c>
      <c r="GO63" s="2">
        <v>0</v>
      </c>
      <c r="GP63" s="2">
        <v>0</v>
      </c>
      <c r="GQ63" s="2">
        <v>0</v>
      </c>
      <c r="GR63" s="2">
        <v>0</v>
      </c>
      <c r="GS63" s="2">
        <v>0</v>
      </c>
      <c r="GT63" s="2">
        <v>0</v>
      </c>
      <c r="GU63" s="2">
        <v>0</v>
      </c>
      <c r="GV63" s="2">
        <v>0</v>
      </c>
      <c r="AVT63" s="1">
        <v>136624354</v>
      </c>
      <c r="AVU63" s="1" t="s">
        <v>2747</v>
      </c>
      <c r="AVW63" s="1">
        <v>326</v>
      </c>
    </row>
    <row r="64" spans="1:981 1268:1271" x14ac:dyDescent="0.3">
      <c r="A64" s="1" t="s">
        <v>2748</v>
      </c>
      <c r="B64" s="1" t="s">
        <v>2749</v>
      </c>
      <c r="C64" s="1" t="s">
        <v>2750</v>
      </c>
      <c r="D64" s="1" t="s">
        <v>2442</v>
      </c>
      <c r="E64" s="1">
        <v>356676102903926</v>
      </c>
      <c r="F64" s="1" t="s">
        <v>2442</v>
      </c>
      <c r="I64" s="1" t="s">
        <v>1659</v>
      </c>
      <c r="J64" s="1" t="s">
        <v>2346</v>
      </c>
      <c r="K64" s="1" t="s">
        <v>2346</v>
      </c>
      <c r="N64" s="1" t="s">
        <v>1153</v>
      </c>
      <c r="O64" s="1">
        <v>1</v>
      </c>
      <c r="P64" s="1">
        <v>0</v>
      </c>
      <c r="Q64" s="1">
        <v>0</v>
      </c>
      <c r="R64" s="1">
        <v>0</v>
      </c>
      <c r="S64" s="1">
        <v>0</v>
      </c>
      <c r="U64" s="1" t="s">
        <v>1840</v>
      </c>
      <c r="W64" s="1" t="s">
        <v>1156</v>
      </c>
      <c r="X64" s="1" t="s">
        <v>1156</v>
      </c>
      <c r="AN64" s="1" t="s">
        <v>1182</v>
      </c>
      <c r="AO64" s="1">
        <v>250</v>
      </c>
      <c r="AP64" s="1" t="s">
        <v>2145</v>
      </c>
      <c r="AR64" s="1" t="s">
        <v>1801</v>
      </c>
      <c r="AS64" s="1" t="s">
        <v>1841</v>
      </c>
      <c r="AT64" s="1" t="s">
        <v>1155</v>
      </c>
      <c r="BO64" s="1" t="s">
        <v>2621</v>
      </c>
      <c r="BP64" s="1">
        <v>0</v>
      </c>
      <c r="BQ64" s="1">
        <v>0</v>
      </c>
      <c r="BR64" s="1">
        <v>0</v>
      </c>
      <c r="BS64" s="1">
        <v>0</v>
      </c>
      <c r="BT64" s="1">
        <v>1</v>
      </c>
      <c r="BU64" s="1">
        <v>0</v>
      </c>
      <c r="BV64" s="1">
        <v>0</v>
      </c>
      <c r="BW64" s="1">
        <v>0</v>
      </c>
      <c r="BX64" s="1">
        <v>0</v>
      </c>
      <c r="BY64" s="1">
        <v>0</v>
      </c>
      <c r="BZ64" s="1">
        <v>0</v>
      </c>
      <c r="CA64" s="1">
        <v>0</v>
      </c>
      <c r="CC64" s="1" t="s">
        <v>1155</v>
      </c>
      <c r="DQ64" s="1" t="s">
        <v>1164</v>
      </c>
      <c r="DR64" s="2">
        <v>0</v>
      </c>
      <c r="DS64" s="2">
        <v>0</v>
      </c>
      <c r="DT64" s="2">
        <v>0</v>
      </c>
      <c r="DU64" s="2">
        <v>0</v>
      </c>
      <c r="DV64" s="2">
        <v>1</v>
      </c>
      <c r="DX64" s="1" t="s">
        <v>1164</v>
      </c>
      <c r="DY64" s="2">
        <v>0</v>
      </c>
      <c r="DZ64" s="2">
        <v>0</v>
      </c>
      <c r="EA64" s="2">
        <v>0</v>
      </c>
      <c r="EB64" s="2">
        <v>0</v>
      </c>
      <c r="EC64" s="2">
        <v>0</v>
      </c>
      <c r="ED64" s="2">
        <v>0</v>
      </c>
      <c r="EE64" s="2">
        <v>0</v>
      </c>
      <c r="EF64" s="2">
        <v>0</v>
      </c>
      <c r="EG64" s="2">
        <v>0</v>
      </c>
      <c r="EH64" s="2">
        <v>1</v>
      </c>
      <c r="EI64" s="2">
        <v>0</v>
      </c>
      <c r="EJ64" s="2">
        <v>0</v>
      </c>
      <c r="EK64" s="2">
        <v>0</v>
      </c>
      <c r="EM64" s="1" t="s">
        <v>1194</v>
      </c>
      <c r="EN64" s="2">
        <v>0</v>
      </c>
      <c r="EO64" s="2">
        <v>0</v>
      </c>
      <c r="EP64" s="2">
        <v>0</v>
      </c>
      <c r="EQ64" s="2">
        <v>0</v>
      </c>
      <c r="ER64" s="2">
        <v>1</v>
      </c>
      <c r="ES64" s="2">
        <v>0</v>
      </c>
      <c r="ET64" s="2">
        <v>0</v>
      </c>
      <c r="EU64" s="2">
        <v>0</v>
      </c>
      <c r="EV64" s="2">
        <v>0</v>
      </c>
      <c r="EW64" s="2">
        <v>0</v>
      </c>
      <c r="EX64" s="2">
        <v>0</v>
      </c>
      <c r="EY64" s="2">
        <v>0</v>
      </c>
      <c r="EZ64" s="2">
        <v>0</v>
      </c>
      <c r="FB64" s="1" t="s">
        <v>1155</v>
      </c>
      <c r="GI64" s="1" t="s">
        <v>1197</v>
      </c>
      <c r="GJ64" s="2">
        <v>0</v>
      </c>
      <c r="GK64" s="2">
        <v>1</v>
      </c>
      <c r="GL64" s="2">
        <v>0</v>
      </c>
      <c r="GM64" s="2">
        <v>0</v>
      </c>
      <c r="GN64" s="2">
        <v>0</v>
      </c>
      <c r="GO64" s="2">
        <v>0</v>
      </c>
      <c r="GP64" s="2">
        <v>0</v>
      </c>
      <c r="GQ64" s="2">
        <v>0</v>
      </c>
      <c r="GR64" s="2">
        <v>0</v>
      </c>
      <c r="GS64" s="2">
        <v>0</v>
      </c>
      <c r="GT64" s="2">
        <v>0</v>
      </c>
      <c r="GU64" s="2">
        <v>0</v>
      </c>
      <c r="GV64" s="2">
        <v>0</v>
      </c>
      <c r="AVT64" s="1">
        <v>136624447</v>
      </c>
      <c r="AVU64" s="1" t="s">
        <v>2751</v>
      </c>
      <c r="AVW64" s="1">
        <v>328</v>
      </c>
    </row>
    <row r="65" spans="1:501 1268:1271" x14ac:dyDescent="0.3">
      <c r="A65" s="1" t="s">
        <v>2752</v>
      </c>
      <c r="B65" s="1" t="s">
        <v>2753</v>
      </c>
      <c r="C65" s="1" t="s">
        <v>2754</v>
      </c>
      <c r="D65" s="1" t="s">
        <v>2442</v>
      </c>
      <c r="E65" s="1">
        <v>356676102903926</v>
      </c>
      <c r="F65" s="1" t="s">
        <v>2442</v>
      </c>
      <c r="I65" s="1" t="s">
        <v>1659</v>
      </c>
      <c r="J65" s="1" t="s">
        <v>2346</v>
      </c>
      <c r="K65" s="1" t="s">
        <v>2346</v>
      </c>
      <c r="N65" s="1" t="s">
        <v>1153</v>
      </c>
      <c r="O65" s="1">
        <v>1</v>
      </c>
      <c r="P65" s="1">
        <v>0</v>
      </c>
      <c r="Q65" s="1">
        <v>0</v>
      </c>
      <c r="R65" s="1">
        <v>0</v>
      </c>
      <c r="S65" s="1">
        <v>0</v>
      </c>
      <c r="U65" s="1" t="s">
        <v>2607</v>
      </c>
      <c r="W65" s="1" t="s">
        <v>1156</v>
      </c>
      <c r="X65" s="1" t="s">
        <v>1156</v>
      </c>
      <c r="AN65" s="1" t="s">
        <v>1182</v>
      </c>
      <c r="AO65" s="1">
        <v>200</v>
      </c>
      <c r="AP65" s="1" t="s">
        <v>2145</v>
      </c>
      <c r="AR65" s="1" t="s">
        <v>1801</v>
      </c>
      <c r="AS65" s="1" t="s">
        <v>1833</v>
      </c>
      <c r="AT65" s="1" t="s">
        <v>1155</v>
      </c>
      <c r="BO65" s="1" t="s">
        <v>1158</v>
      </c>
      <c r="BP65" s="1">
        <v>0</v>
      </c>
      <c r="BQ65" s="1">
        <v>0</v>
      </c>
      <c r="BR65" s="1">
        <v>0</v>
      </c>
      <c r="BS65" s="1">
        <v>0</v>
      </c>
      <c r="BT65" s="1">
        <v>0</v>
      </c>
      <c r="BU65" s="1">
        <v>1</v>
      </c>
      <c r="BV65" s="1">
        <v>0</v>
      </c>
      <c r="BW65" s="1">
        <v>0</v>
      </c>
      <c r="BX65" s="1">
        <v>0</v>
      </c>
      <c r="BY65" s="1">
        <v>0</v>
      </c>
      <c r="BZ65" s="1">
        <v>0</v>
      </c>
      <c r="CA65" s="1">
        <v>0</v>
      </c>
      <c r="CC65" s="1" t="s">
        <v>1155</v>
      </c>
      <c r="DQ65" s="1" t="s">
        <v>1164</v>
      </c>
      <c r="DR65" s="2">
        <v>0</v>
      </c>
      <c r="DS65" s="2">
        <v>0</v>
      </c>
      <c r="DT65" s="2">
        <v>0</v>
      </c>
      <c r="DU65" s="2">
        <v>0</v>
      </c>
      <c r="DV65" s="2">
        <v>1</v>
      </c>
      <c r="DX65" s="1" t="s">
        <v>2369</v>
      </c>
      <c r="DY65" s="2">
        <v>0</v>
      </c>
      <c r="DZ65" s="2">
        <v>0</v>
      </c>
      <c r="EA65" s="2">
        <v>0</v>
      </c>
      <c r="EB65" s="2">
        <v>0</v>
      </c>
      <c r="EC65" s="2">
        <v>0</v>
      </c>
      <c r="ED65" s="2">
        <v>0</v>
      </c>
      <c r="EE65" s="2">
        <v>0</v>
      </c>
      <c r="EF65" s="2">
        <v>0</v>
      </c>
      <c r="EG65" s="2">
        <v>1</v>
      </c>
      <c r="EH65" s="2">
        <v>0</v>
      </c>
      <c r="EI65" s="2">
        <v>0</v>
      </c>
      <c r="EJ65" s="2">
        <v>0</v>
      </c>
      <c r="EK65" s="2">
        <v>0</v>
      </c>
      <c r="EM65" s="1" t="s">
        <v>1194</v>
      </c>
      <c r="EN65" s="2">
        <v>0</v>
      </c>
      <c r="EO65" s="2">
        <v>0</v>
      </c>
      <c r="EP65" s="2">
        <v>0</v>
      </c>
      <c r="EQ65" s="2">
        <v>0</v>
      </c>
      <c r="ER65" s="2">
        <v>1</v>
      </c>
      <c r="ES65" s="2">
        <v>0</v>
      </c>
      <c r="ET65" s="2">
        <v>0</v>
      </c>
      <c r="EU65" s="2">
        <v>0</v>
      </c>
      <c r="EV65" s="2">
        <v>0</v>
      </c>
      <c r="EW65" s="2">
        <v>0</v>
      </c>
      <c r="EX65" s="2">
        <v>0</v>
      </c>
      <c r="EY65" s="2">
        <v>0</v>
      </c>
      <c r="EZ65" s="2">
        <v>0</v>
      </c>
      <c r="FB65" s="1" t="s">
        <v>1155</v>
      </c>
      <c r="GI65" s="1" t="s">
        <v>2427</v>
      </c>
      <c r="GJ65" s="2">
        <v>0</v>
      </c>
      <c r="GK65" s="2">
        <v>0</v>
      </c>
      <c r="GL65" s="2">
        <v>1</v>
      </c>
      <c r="GM65" s="2">
        <v>0</v>
      </c>
      <c r="GN65" s="2">
        <v>0</v>
      </c>
      <c r="GO65" s="2">
        <v>0</v>
      </c>
      <c r="GP65" s="2">
        <v>0</v>
      </c>
      <c r="GQ65" s="2">
        <v>0</v>
      </c>
      <c r="GR65" s="2">
        <v>0</v>
      </c>
      <c r="GS65" s="2">
        <v>0</v>
      </c>
      <c r="GT65" s="2">
        <v>0</v>
      </c>
      <c r="GU65" s="2">
        <v>0</v>
      </c>
      <c r="GV65" s="2">
        <v>0</v>
      </c>
      <c r="AVT65" s="1">
        <v>136624503</v>
      </c>
      <c r="AVU65" s="1" t="s">
        <v>2755</v>
      </c>
      <c r="AVW65" s="1">
        <v>330</v>
      </c>
    </row>
    <row r="67" spans="1:501 1268:1271" ht="14.5" x14ac:dyDescent="0.35">
      <c r="SG67"/>
    </row>
    <row r="68" spans="1:501 1268:1271" ht="14.5" x14ac:dyDescent="0.35">
      <c r="SG68"/>
    </row>
  </sheetData>
  <autoFilter ref="A1:AXY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223"/>
  <sheetViews>
    <sheetView zoomScale="90" zoomScaleNormal="90" workbookViewId="0">
      <selection activeCell="O137" sqref="O137"/>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COUNTIFS('ALINDAO_Cleaned Data'!N:N,"eau",'ALINDAO_Cleaned Data'!K:K,"alindao")</f>
        <v>49</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COUNTIF('ALINDAO_Cleaned Data'!U:U,"pompe_pied")</f>
        <v>4</v>
      </c>
      <c r="C7" s="24">
        <f>COUNTIF('ALINDAO_Cleaned Data'!U:U,"pompe_main")</f>
        <v>20</v>
      </c>
      <c r="D7" s="24">
        <f>COUNTIF('ALINDAO_Cleaned Data'!U:U,"source_amenagee")</f>
        <v>2</v>
      </c>
      <c r="E7" s="24">
        <f>COUNTIF('ALINDAO_Cleaned Data'!U:U,"source_non_amenagee")</f>
        <v>2</v>
      </c>
      <c r="F7" s="24">
        <f>COUNTIF('ALINDAO_Cleaned Data'!U:U,"puits_protege")</f>
        <v>11</v>
      </c>
      <c r="G7" s="24">
        <f>COUNTIF('ALINDAO_Cleaned Data'!U:U,"puits_non_protege")</f>
        <v>2</v>
      </c>
      <c r="H7" s="24">
        <f>COUNTIF('ALINDAO_Cleaned Data'!U:U,"camion")</f>
        <v>8</v>
      </c>
      <c r="I7" s="109">
        <f>SUM(B7:H7)</f>
        <v>49</v>
      </c>
      <c r="J7" s="10"/>
      <c r="K7" s="10"/>
      <c r="L7" s="10"/>
      <c r="M7" s="10"/>
      <c r="N7" s="10"/>
      <c r="O7" s="10"/>
      <c r="P7" s="10"/>
      <c r="Q7" s="10"/>
      <c r="R7" s="10"/>
      <c r="Z7" s="1"/>
    </row>
    <row r="8" spans="1:26" s="106" customFormat="1" ht="26" x14ac:dyDescent="0.3">
      <c r="A8" s="101" t="s">
        <v>3246</v>
      </c>
      <c r="B8" s="104">
        <f>(B7/$B$3)</f>
        <v>8.1632653061224483E-2</v>
      </c>
      <c r="C8" s="104">
        <f t="shared" ref="C8:H8" si="0">(C7/$B$3)</f>
        <v>0.40816326530612246</v>
      </c>
      <c r="D8" s="104">
        <f t="shared" si="0"/>
        <v>4.0816326530612242E-2</v>
      </c>
      <c r="E8" s="104">
        <f t="shared" si="0"/>
        <v>4.0816326530612242E-2</v>
      </c>
      <c r="F8" s="104">
        <f t="shared" si="0"/>
        <v>0.22448979591836735</v>
      </c>
      <c r="G8" s="104">
        <f t="shared" si="0"/>
        <v>4.0816326530612242E-2</v>
      </c>
      <c r="H8" s="104">
        <f t="shared" si="0"/>
        <v>0.16326530612244897</v>
      </c>
      <c r="I8" s="102">
        <f>SUM(B8:H8)</f>
        <v>1.0000000000000002</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COUNTIF('ALINDAO_Cleaned Data'!X:X,"oui")</f>
        <v>42</v>
      </c>
      <c r="C13" s="24">
        <f>COUNTIF('ALINDAO_Cleaned Data'!X:X,"non")</f>
        <v>2</v>
      </c>
      <c r="D13" s="24">
        <f>COUNTIF('ALINDAO_Cleaned Data'!X:X,"endommage")</f>
        <v>5</v>
      </c>
      <c r="E13" s="52">
        <f>SUM(B13,D13)</f>
        <v>47</v>
      </c>
      <c r="F13" s="10"/>
      <c r="G13" s="10"/>
      <c r="H13" s="10"/>
      <c r="I13" s="10"/>
      <c r="J13" s="10"/>
      <c r="K13" s="10"/>
      <c r="L13" s="10"/>
      <c r="M13" s="10"/>
      <c r="N13" s="10"/>
      <c r="O13" s="10"/>
      <c r="P13" s="10"/>
      <c r="Q13" s="10"/>
      <c r="R13" s="10"/>
    </row>
    <row r="14" spans="1:26" s="106" customFormat="1" ht="26" x14ac:dyDescent="0.3">
      <c r="A14" s="101" t="s">
        <v>3246</v>
      </c>
      <c r="B14" s="104">
        <f>(B13/$B$3)</f>
        <v>0.8571428571428571</v>
      </c>
      <c r="C14" s="104">
        <f t="shared" ref="C14:D14" si="1">(C13/$B$3)</f>
        <v>4.0816326530612242E-2</v>
      </c>
      <c r="D14" s="104">
        <f t="shared" si="1"/>
        <v>0.10204081632653061</v>
      </c>
      <c r="E14" s="102">
        <f>E13/$B$3</f>
        <v>0.95918367346938771</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COUNTIF('ALINDAO_Cleaned Data'!Y:Y,"non_maintenance")</f>
        <v>3</v>
      </c>
      <c r="E18" s="24">
        <f>COUNTIF('ALINDAO_Cleaned Data'!Y:Y,"non_rehab")</f>
        <v>2</v>
      </c>
      <c r="F18" s="24">
        <f>COUNTIF('ALINDAO_Cleaned Data'!Y:Y,"non_destruction")</f>
        <v>0</v>
      </c>
      <c r="G18" s="111">
        <f>SUM(D18:F18)</f>
        <v>5</v>
      </c>
      <c r="H18" s="10"/>
      <c r="I18" s="10"/>
      <c r="J18" s="10"/>
      <c r="K18" s="10"/>
      <c r="L18" s="10"/>
      <c r="M18" s="10"/>
      <c r="N18" s="10"/>
      <c r="O18" s="10"/>
      <c r="P18" s="10"/>
      <c r="Q18" s="10"/>
      <c r="R18" s="10"/>
    </row>
    <row r="19" spans="1:26" s="106" customFormat="1" ht="37.5" x14ac:dyDescent="0.3">
      <c r="A19" s="105"/>
      <c r="B19" s="105"/>
      <c r="C19" s="101" t="s">
        <v>3247</v>
      </c>
      <c r="D19" s="104">
        <f>D18/$D$13</f>
        <v>0.6</v>
      </c>
      <c r="E19" s="104">
        <f>E18/$D$13</f>
        <v>0.4</v>
      </c>
      <c r="F19" s="104">
        <f>F18/$D$13</f>
        <v>0</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COUNTIF('ALINDAO_Cleaned Data'!AA:AA,"moins_six_mois")</f>
        <v>3</v>
      </c>
      <c r="E23" s="24">
        <f>COUNTIF('ALINDAO_Cleaned Data'!AA:AA,"six_mois_un_an")</f>
        <v>2</v>
      </c>
      <c r="F23" s="24">
        <f>COUNTIF('ALINDAO_Cleaned Data'!AA:AA,"un_an_trois_ans")</f>
        <v>0</v>
      </c>
      <c r="G23" s="24">
        <f>COUNTIF('ALINDAO_Cleaned Data'!AA:AA,"plus_trois_ans")</f>
        <v>0</v>
      </c>
      <c r="H23" s="24">
        <f>COUNTIF('ALINDAO_Cleaned Data'!AA:AA,"nsp")</f>
        <v>0</v>
      </c>
      <c r="I23" s="111">
        <f>SUM(D23:H23)</f>
        <v>5</v>
      </c>
      <c r="J23" s="10"/>
      <c r="K23" s="10"/>
      <c r="L23" s="10"/>
      <c r="M23" s="10"/>
      <c r="N23" s="10"/>
      <c r="O23" s="10"/>
      <c r="P23" s="10"/>
      <c r="Q23" s="10"/>
      <c r="R23" s="10"/>
    </row>
    <row r="24" spans="1:26" s="106" customFormat="1" ht="36.5" customHeight="1" x14ac:dyDescent="0.3">
      <c r="A24" s="105"/>
      <c r="B24" s="105"/>
      <c r="C24" s="101" t="s">
        <v>3247</v>
      </c>
      <c r="D24" s="104">
        <f>D23/$D$13</f>
        <v>0.6</v>
      </c>
      <c r="E24" s="104">
        <f>E23/$D$13</f>
        <v>0.4</v>
      </c>
      <c r="F24" s="104">
        <f>F23/$D$13</f>
        <v>0</v>
      </c>
      <c r="G24" s="104">
        <f t="shared" ref="G24:H24" si="2">G23/$D$13</f>
        <v>0</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COUNTIF('ALINDAO_Cleaned Data'!AC:AC,"1")</f>
        <v>1</v>
      </c>
      <c r="E28" s="24">
        <f>COUNTIF('ALINDAO_Cleaned Data'!AD:AD,"1")</f>
        <v>0</v>
      </c>
      <c r="F28" s="24">
        <f>COUNTIF('ALINDAO_Cleaned Data'!AF:AF,"1")</f>
        <v>0</v>
      </c>
      <c r="G28" s="24">
        <f>COUNTIF('ALINDAO_Cleaned Data'!AH:AH,"1")</f>
        <v>1</v>
      </c>
      <c r="H28" s="24">
        <f>COUNTIF('ALINDAO_Cleaned Data'!AI:AI,"1")</f>
        <v>1</v>
      </c>
      <c r="I28" s="24">
        <f>COUNTIF('ALINDAO_Cleaned Data'!AK:AK,"1")</f>
        <v>0</v>
      </c>
      <c r="J28" s="10"/>
      <c r="K28" s="10"/>
      <c r="L28" s="10"/>
      <c r="M28" s="10"/>
      <c r="N28" s="10"/>
      <c r="O28" s="10"/>
      <c r="P28" s="10"/>
      <c r="Q28" s="10"/>
      <c r="R28" s="10"/>
      <c r="X28" s="1"/>
      <c r="Y28" s="1"/>
      <c r="Z28" s="1"/>
    </row>
    <row r="29" spans="1:26" s="105" customFormat="1" ht="37.5" x14ac:dyDescent="0.3">
      <c r="A29" s="107"/>
      <c r="B29" s="108"/>
      <c r="C29" s="101" t="s">
        <v>3248</v>
      </c>
      <c r="D29" s="104">
        <f>D28/$C$13</f>
        <v>0.5</v>
      </c>
      <c r="E29" s="104">
        <f t="shared" ref="E29:I29" si="3">E28/$C$13</f>
        <v>0</v>
      </c>
      <c r="F29" s="104">
        <f t="shared" si="3"/>
        <v>0</v>
      </c>
      <c r="G29" s="104">
        <f t="shared" si="3"/>
        <v>0.5</v>
      </c>
      <c r="H29" s="104">
        <f t="shared" si="3"/>
        <v>0.5</v>
      </c>
      <c r="I29" s="104">
        <f t="shared" si="3"/>
        <v>0</v>
      </c>
      <c r="J29" s="10"/>
    </row>
    <row r="30" spans="1:26" s="10" customFormat="1" x14ac:dyDescent="0.3">
      <c r="A30" s="14"/>
      <c r="B30" s="15"/>
      <c r="C30" s="97"/>
      <c r="D30" s="15"/>
      <c r="E30" s="15"/>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COUNTIF('ALINDAO_Cleaned Data'!AM:AM,"moins_six_mois")</f>
        <v>0</v>
      </c>
      <c r="E33" s="24">
        <f>COUNTIF('ALINDAO_Cleaned Data'!AM:AM,"six_mois_un_an")</f>
        <v>1</v>
      </c>
      <c r="F33" s="24">
        <f>COUNTIF('ALINDAO_Cleaned Data'!AM:AM,"un_an_trois_ans")</f>
        <v>0</v>
      </c>
      <c r="G33" s="24">
        <f>COUNTIF('ALINDAO_Cleaned Data'!AM:AM,"plus_trois_ans")</f>
        <v>1</v>
      </c>
      <c r="H33" s="24">
        <f>COUNTIF('ALINDAO_Cleaned Data'!AM:AM,"nsp")</f>
        <v>0</v>
      </c>
      <c r="I33" s="111">
        <f>SUM(D33:H33)</f>
        <v>2</v>
      </c>
      <c r="J33" s="10"/>
      <c r="K33" s="10"/>
      <c r="L33" s="10"/>
      <c r="M33" s="10"/>
      <c r="N33" s="10"/>
      <c r="O33" s="10"/>
      <c r="P33" s="10"/>
      <c r="Q33" s="10"/>
      <c r="R33" s="10"/>
    </row>
    <row r="34" spans="1:26" s="106" customFormat="1" ht="41.5" customHeight="1" x14ac:dyDescent="0.3">
      <c r="A34" s="105"/>
      <c r="B34" s="105"/>
      <c r="C34" s="101" t="s">
        <v>3248</v>
      </c>
      <c r="D34" s="104">
        <f>D33/$C$13</f>
        <v>0</v>
      </c>
      <c r="E34" s="104">
        <f t="shared" ref="E34:H34" si="4">E33/$C$13</f>
        <v>0.5</v>
      </c>
      <c r="F34" s="104">
        <f t="shared" si="4"/>
        <v>0</v>
      </c>
      <c r="G34" s="104">
        <f t="shared" si="4"/>
        <v>0.5</v>
      </c>
      <c r="H34" s="104">
        <f t="shared" si="4"/>
        <v>0</v>
      </c>
      <c r="I34" s="100">
        <f>SUM(D34:H34)</f>
        <v>1</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COUNTIF('ALINDAO_Cleaned Data'!BP:BP,"1")</f>
        <v>1</v>
      </c>
      <c r="C38" s="24">
        <f>COUNTIF('ALINDAO_Cleaned Data'!BQ:BQ,"1")</f>
        <v>0</v>
      </c>
      <c r="D38" s="24">
        <f>COUNTIF('ALINDAO_Cleaned Data'!BR:BR,"1")</f>
        <v>2</v>
      </c>
      <c r="E38" s="24">
        <f>COUNTIF('ALINDAO_Cleaned Data'!BY:BY,"1")</f>
        <v>2</v>
      </c>
      <c r="F38" s="24">
        <f>COUNTIF('ALINDAO_Cleaned Data'!BZ:BZ,"1")</f>
        <v>9</v>
      </c>
      <c r="G38" s="24">
        <f>COUNTIF('ALINDAO_Cleaned Data'!BS:BS,"1")</f>
        <v>1</v>
      </c>
      <c r="H38" s="24">
        <f>COUNTIF('ALINDAO_Cleaned Data'!BT:BT,"1")</f>
        <v>3</v>
      </c>
      <c r="I38" s="24">
        <f>COUNTIF('ALINDAO_Cleaned Data'!BU:BU,"1")</f>
        <v>33</v>
      </c>
      <c r="J38" s="24">
        <f>COUNTIF('ALINDAO_Cleaned Data'!CA:CA,"1")</f>
        <v>2</v>
      </c>
      <c r="K38" s="24">
        <f>COUNTIF('ALINDAO_Cleaned Data'!BW:BW,"1")</f>
        <v>0</v>
      </c>
      <c r="L38" s="24">
        <f>COUNTIF('ALINDAO_Cleaned Data'!BX:BX,"1")</f>
        <v>0</v>
      </c>
      <c r="M38" s="10"/>
      <c r="N38" s="10"/>
      <c r="O38" s="10"/>
      <c r="P38" s="10"/>
      <c r="Q38" s="10"/>
      <c r="R38" s="10"/>
    </row>
    <row r="39" spans="1:26" s="106" customFormat="1" ht="26" x14ac:dyDescent="0.3">
      <c r="A39" s="101" t="s">
        <v>3246</v>
      </c>
      <c r="B39" s="104">
        <f>B38/$B$3</f>
        <v>2.0408163265306121E-2</v>
      </c>
      <c r="C39" s="104">
        <f t="shared" ref="C39:L39" si="5">C38/$B$3</f>
        <v>0</v>
      </c>
      <c r="D39" s="104">
        <f t="shared" si="5"/>
        <v>4.0816326530612242E-2</v>
      </c>
      <c r="E39" s="104">
        <f t="shared" si="5"/>
        <v>4.0816326530612242E-2</v>
      </c>
      <c r="F39" s="104">
        <f t="shared" si="5"/>
        <v>0.18367346938775511</v>
      </c>
      <c r="G39" s="104">
        <f t="shared" si="5"/>
        <v>2.0408163265306121E-2</v>
      </c>
      <c r="H39" s="104">
        <f t="shared" si="5"/>
        <v>6.1224489795918366E-2</v>
      </c>
      <c r="I39" s="104">
        <f t="shared" si="5"/>
        <v>0.67346938775510201</v>
      </c>
      <c r="J39" s="104">
        <f t="shared" si="5"/>
        <v>4.0816326530612242E-2</v>
      </c>
      <c r="K39" s="104">
        <f t="shared" si="5"/>
        <v>0</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COUNTIF('ALINDAO_Cleaned Data'!AN:AN, "oui_potable")</f>
        <v>39</v>
      </c>
      <c r="C45" s="3">
        <f>COUNTIF('ALINDAO_Cleaned Data'!AN:AN, "oui_pas_potable")</f>
        <v>3</v>
      </c>
      <c r="D45" s="3">
        <f>COUNTIF('ALINDAO_Cleaned Data'!AN:AN, "oui_traitee")</f>
        <v>2</v>
      </c>
      <c r="E45" s="3">
        <f>COUNTIF('ALINDAO_Cleaned Data'!AN:AN, "non")</f>
        <v>3</v>
      </c>
      <c r="F45" s="111">
        <f>SUM(B45:E45)</f>
        <v>47</v>
      </c>
      <c r="G45" s="10"/>
      <c r="H45" s="10"/>
      <c r="I45" s="10"/>
      <c r="J45" s="10"/>
      <c r="K45" s="10"/>
      <c r="L45" s="10"/>
      <c r="M45" s="10"/>
      <c r="N45" s="10"/>
      <c r="O45" s="10"/>
      <c r="P45" s="10"/>
      <c r="Q45" s="10"/>
      <c r="R45" s="10"/>
    </row>
    <row r="46" spans="1:26" s="106" customFormat="1" ht="37.5" x14ac:dyDescent="0.3">
      <c r="A46" s="101" t="s">
        <v>1883</v>
      </c>
      <c r="B46" s="104">
        <f>(B45/$E$13)</f>
        <v>0.82978723404255317</v>
      </c>
      <c r="C46" s="104">
        <f t="shared" ref="C46:E46" si="6">(C45/$E$13)</f>
        <v>6.3829787234042548E-2</v>
      </c>
      <c r="D46" s="104">
        <f t="shared" si="6"/>
        <v>4.2553191489361701E-2</v>
      </c>
      <c r="E46" s="104">
        <f t="shared" si="6"/>
        <v>6.3829787234042548E-2</v>
      </c>
      <c r="F46" s="100">
        <f>SUM(B46:E46)</f>
        <v>0.99999999999999989</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f>AVERAGE('ALINDAO_Cleaned Data'!AO:AO)</f>
        <v>137.10869565217391</v>
      </c>
      <c r="B49" s="10"/>
      <c r="C49" s="74"/>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COUNTIF('ALINDAO_Cleaned Data'!AP:AP,"maisons_alentours")</f>
        <v>1</v>
      </c>
      <c r="C53" s="3">
        <f>COUNTIF('ALINDAO_Cleaned Data'!AP:AP,"quartier")</f>
        <v>5</v>
      </c>
      <c r="D53" s="3">
        <f>COUNTIF('ALINDAO_Cleaned Data'!AP:AP,"plusieurs_quartiers")</f>
        <v>27</v>
      </c>
      <c r="E53" s="3">
        <f>COUNTIF('ALINDAO_Cleaned Data'!AP:AP,"localite")</f>
        <v>6</v>
      </c>
      <c r="F53" s="3">
        <f>COUNTIF('ALINDAO_Cleaned Data'!AP:AP,"localite_environs")</f>
        <v>8</v>
      </c>
      <c r="G53" s="3">
        <f>COUNTIF('ALINDAO_Cleaned Data'!AP:AP,"nsp")</f>
        <v>0</v>
      </c>
      <c r="H53" s="3">
        <f>COUNTIF('ALINDAO_Cleaned Data'!AP:AP,"autre")</f>
        <v>0</v>
      </c>
      <c r="I53" s="111">
        <f>SUM(B53:H53)</f>
        <v>47</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2.1276595744680851E-2</v>
      </c>
      <c r="C54" s="104">
        <f t="shared" ref="C54:H54" si="7">(C53/$E$13)</f>
        <v>0.10638297872340426</v>
      </c>
      <c r="D54" s="104">
        <f t="shared" si="7"/>
        <v>0.57446808510638303</v>
      </c>
      <c r="E54" s="104">
        <f t="shared" si="7"/>
        <v>0.1276595744680851</v>
      </c>
      <c r="F54" s="104">
        <f t="shared" si="7"/>
        <v>0.1702127659574468</v>
      </c>
      <c r="G54" s="104">
        <f t="shared" si="7"/>
        <v>0</v>
      </c>
      <c r="H54" s="104">
        <f t="shared" si="7"/>
        <v>0</v>
      </c>
      <c r="I54" s="100">
        <f>SUM(B54:H54)</f>
        <v>1</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COUNTIF('ALINDAO_Cleaned Data'!AR:AR,"moins_trente_min")</f>
        <v>38</v>
      </c>
      <c r="C58" s="3">
        <f>COUNTIF('ALINDAO_Cleaned Data'!AR:AR,"une_heure")</f>
        <v>9</v>
      </c>
      <c r="D58" s="3">
        <f>COUNTIF('ALINDAO_Cleaned Data'!AR:AR,"une_deux_heures")</f>
        <v>0</v>
      </c>
      <c r="E58" s="3">
        <f>COUNTIF('ALINDAO_Cleaned Data'!AR:AR,"deux_trois_heures")</f>
        <v>0</v>
      </c>
      <c r="F58" s="3">
        <f>COUNTIF('ALINDAO_Cleaned Data'!AR:AR,"plus_trois_heures")</f>
        <v>0</v>
      </c>
      <c r="G58" s="111">
        <f>SUM(B58:F58)</f>
        <v>47</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0.80851063829787229</v>
      </c>
      <c r="C59" s="94">
        <f t="shared" ref="C59:F59" si="8">(C58/$E$13)</f>
        <v>0.19148936170212766</v>
      </c>
      <c r="D59" s="94">
        <f t="shared" si="8"/>
        <v>0</v>
      </c>
      <c r="E59" s="94">
        <f t="shared" si="8"/>
        <v>0</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COUNTIF('ALINDAO_Cleaned Data'!AS:AS,"aucun")</f>
        <v>8</v>
      </c>
      <c r="C63" s="3">
        <f>COUNTIF('ALINDAO_Cleaned Data'!AS:AS,"moins_trente_minutes")</f>
        <v>20</v>
      </c>
      <c r="D63" s="3">
        <f>COUNTIF('ALINDAO_Cleaned Data'!AS:AS,"moins_une_heure")</f>
        <v>16</v>
      </c>
      <c r="E63" s="3">
        <f>COUNTIF('ALINDAO_Cleaned Data'!AS:AS,"plus_une_heure")</f>
        <v>1</v>
      </c>
      <c r="F63" s="3">
        <f>COUNTIF('ALINDAO_Cleaned Data'!AS:AS,"plus_deux_heures")</f>
        <v>1</v>
      </c>
      <c r="G63" s="3">
        <f>COUNTIF('ALINDAO_Cleaned Data'!AS:AS,"plus_trois_heure")</f>
        <v>1</v>
      </c>
      <c r="H63" s="3">
        <f>COUNTIF('ALINDAO_Cleaned Data'!AS:AS,"nsp")</f>
        <v>0</v>
      </c>
      <c r="I63" s="111">
        <f>SUM(B63:H63)</f>
        <v>47</v>
      </c>
    </row>
    <row r="64" spans="1:45" s="56" customFormat="1" ht="37" x14ac:dyDescent="0.3">
      <c r="A64" s="54" t="s">
        <v>1883</v>
      </c>
      <c r="B64" s="94">
        <f>(B63/$E$13)</f>
        <v>0.1702127659574468</v>
      </c>
      <c r="C64" s="94">
        <f t="shared" ref="C64:H64" si="9">(C63/$E$13)</f>
        <v>0.42553191489361702</v>
      </c>
      <c r="D64" s="94">
        <f t="shared" si="9"/>
        <v>0.34042553191489361</v>
      </c>
      <c r="E64" s="94">
        <f t="shared" si="9"/>
        <v>2.1276595744680851E-2</v>
      </c>
      <c r="F64" s="94">
        <f t="shared" si="9"/>
        <v>2.1276595744680851E-2</v>
      </c>
      <c r="G64" s="94">
        <f t="shared" si="9"/>
        <v>2.1276595744680851E-2</v>
      </c>
      <c r="H64" s="94">
        <f t="shared" si="9"/>
        <v>0</v>
      </c>
      <c r="I64" s="100">
        <f>SUM(B64:H64)</f>
        <v>1</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COUNTIF('ALINDAO_Cleaned Data'!AT:AT,"OUI")</f>
        <v>30</v>
      </c>
      <c r="C68" s="3">
        <f>COUNTIF('ALINDAO_Cleaned Data'!AT:AT,"non")</f>
        <v>17</v>
      </c>
      <c r="D68" s="111">
        <f>SUM(B68:C68)</f>
        <v>47</v>
      </c>
      <c r="E68" s="10"/>
      <c r="F68" s="10"/>
      <c r="G68" s="10"/>
      <c r="H68" s="10"/>
      <c r="I68" s="10"/>
      <c r="J68" s="10"/>
      <c r="K68" s="10"/>
      <c r="L68" s="10"/>
      <c r="M68" s="10"/>
      <c r="N68" s="10"/>
      <c r="O68" s="10"/>
      <c r="P68" s="10"/>
      <c r="Q68" s="10"/>
      <c r="R68" s="10"/>
    </row>
    <row r="69" spans="1:26" s="56" customFormat="1" ht="37" x14ac:dyDescent="0.3">
      <c r="A69" s="54" t="s">
        <v>1883</v>
      </c>
      <c r="B69" s="94">
        <f>(B68/$E$13)</f>
        <v>0.63829787234042556</v>
      </c>
      <c r="C69" s="94">
        <f>(C68/$E$13)</f>
        <v>0.36170212765957449</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COUNTIF('ALINDAO_Cleaned Data'!AU:AU,"bcp_diminue")</f>
        <v>2</v>
      </c>
      <c r="D73" s="3">
        <f>COUNTIF('ALINDAO_Cleaned Data'!AU:AU,"peu_diminue")</f>
        <v>2</v>
      </c>
      <c r="E73" s="3">
        <f>COUNTIF('ALINDAO_Cleaned Data'!AU:AU,"bcp_augmente")</f>
        <v>14</v>
      </c>
      <c r="F73" s="3">
        <f>COUNTIF('ALINDAO_Cleaned Data'!AU:AU,"PEU_augmente")</f>
        <v>12</v>
      </c>
      <c r="G73" s="111">
        <f>SUM(C73:F73)</f>
        <v>30</v>
      </c>
      <c r="H73" s="10"/>
      <c r="I73" s="10"/>
      <c r="J73" s="10"/>
      <c r="K73" s="10"/>
      <c r="L73" s="10"/>
      <c r="M73" s="10"/>
      <c r="N73" s="10"/>
      <c r="O73" s="10"/>
      <c r="P73" s="10"/>
      <c r="Q73" s="10"/>
      <c r="R73" s="10"/>
    </row>
    <row r="74" spans="1:26" ht="60.5" x14ac:dyDescent="0.3">
      <c r="A74" s="10"/>
      <c r="B74" s="53" t="s">
        <v>3250</v>
      </c>
      <c r="C74" s="7">
        <f>(C73/$B$68)</f>
        <v>6.6666666666666666E-2</v>
      </c>
      <c r="D74" s="7">
        <f>(D73/$B$68)</f>
        <v>6.6666666666666666E-2</v>
      </c>
      <c r="E74" s="7">
        <f>(E73/$B$68)</f>
        <v>0.46666666666666667</v>
      </c>
      <c r="F74" s="7">
        <f>(F73/$B$68)</f>
        <v>0.4</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3259</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COUNTIF('ALINDAO_Cleaned Data'!AV:AV,"1")</f>
        <v>0</v>
      </c>
      <c r="D78" s="3">
        <f>COUNTIF('ALINDAO_Cleaned Data'!AW:AW,"1")</f>
        <v>13</v>
      </c>
      <c r="E78" s="3">
        <f>COUNTIF('ALINDAO_Cleaned Data'!AX:AX,"1")</f>
        <v>2</v>
      </c>
      <c r="F78" s="3">
        <f>COUNTIF('ALINDAO_Cleaned Data'!AY:AY,"1")</f>
        <v>18</v>
      </c>
      <c r="G78" s="3">
        <f>COUNTIF('ALINDAO_Cleaned Data'!AZ:AZ,"1")</f>
        <v>11</v>
      </c>
      <c r="H78" s="3">
        <f>COUNTIF('ALINDAO_Cleaned Data'!BA:BA,"1")</f>
        <v>0</v>
      </c>
      <c r="I78" s="3">
        <f>COUNTIF('ALINDAO_Cleaned Data'!BB:BB,"1")</f>
        <v>4</v>
      </c>
      <c r="J78" s="3">
        <f>COUNTIF('ALINDAO_Cleaned Data'!BC:BC,"1")</f>
        <v>0</v>
      </c>
      <c r="K78" s="20"/>
      <c r="L78" s="10"/>
      <c r="M78" s="10"/>
      <c r="N78" s="10"/>
      <c r="O78" s="10"/>
      <c r="P78" s="10"/>
      <c r="Q78" s="10"/>
      <c r="R78" s="10"/>
    </row>
    <row r="79" spans="1:26" ht="60.5" x14ac:dyDescent="0.3">
      <c r="A79" s="10"/>
      <c r="B79" s="53" t="s">
        <v>3251</v>
      </c>
      <c r="C79" s="7">
        <f t="shared" ref="C79:J79" si="10">C78/$E$73</f>
        <v>0</v>
      </c>
      <c r="D79" s="7">
        <f t="shared" si="10"/>
        <v>0.9285714285714286</v>
      </c>
      <c r="E79" s="7">
        <f t="shared" si="10"/>
        <v>0.14285714285714285</v>
      </c>
      <c r="F79" s="7">
        <f t="shared" si="10"/>
        <v>1.2857142857142858</v>
      </c>
      <c r="G79" s="7">
        <f t="shared" si="10"/>
        <v>0.7857142857142857</v>
      </c>
      <c r="H79" s="7">
        <f t="shared" si="10"/>
        <v>0</v>
      </c>
      <c r="I79" s="7">
        <f t="shared" si="10"/>
        <v>0.2857142857142857</v>
      </c>
      <c r="J79" s="7">
        <f t="shared" si="10"/>
        <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COUNTIF('ALINDAO_Cleaned Data'!BF:BF,"1")</f>
        <v>0</v>
      </c>
      <c r="D83" s="3">
        <f>COUNTIF('ALINDAO_Cleaned Data'!BG:BG,"1")</f>
        <v>1</v>
      </c>
      <c r="E83" s="3">
        <f>COUNTIF('ALINDAO_Cleaned Data'!BH:BH,"1")</f>
        <v>1</v>
      </c>
      <c r="F83" s="3">
        <f>COUNTIF('ALINDAO_Cleaned Data'!BI:BI,"1")</f>
        <v>1</v>
      </c>
      <c r="G83" s="3">
        <f>COUNTIF('ALINDAO_Cleaned Data'!BJ:BJ,"1")</f>
        <v>0</v>
      </c>
      <c r="H83" s="3">
        <f>COUNTIF('ALINDAO_Cleaned Data'!BK:BK,"1")</f>
        <v>1</v>
      </c>
      <c r="I83" s="3">
        <f>COUNTIF('ALINDAO_Cleaned Data'!BL:BL,"1")</f>
        <v>0</v>
      </c>
      <c r="J83" s="10"/>
      <c r="K83" s="10"/>
      <c r="L83" s="10"/>
      <c r="M83" s="10"/>
      <c r="N83" s="10"/>
      <c r="O83" s="10"/>
      <c r="P83" s="10"/>
      <c r="Q83" s="10"/>
      <c r="R83" s="10"/>
    </row>
    <row r="84" spans="1:26" ht="60.5" x14ac:dyDescent="0.3">
      <c r="A84" s="10"/>
      <c r="B84" s="53" t="s">
        <v>3252</v>
      </c>
      <c r="C84" s="7">
        <f t="shared" ref="C84:I84" si="11">C83/$D$73</f>
        <v>0</v>
      </c>
      <c r="D84" s="7">
        <f t="shared" si="11"/>
        <v>0.5</v>
      </c>
      <c r="E84" s="7">
        <f t="shared" si="11"/>
        <v>0.5</v>
      </c>
      <c r="F84" s="7">
        <f t="shared" si="11"/>
        <v>0.5</v>
      </c>
      <c r="G84" s="7">
        <f t="shared" si="11"/>
        <v>0</v>
      </c>
      <c r="H84" s="7">
        <f t="shared" si="11"/>
        <v>0.5</v>
      </c>
      <c r="I84" s="7">
        <f t="shared" si="11"/>
        <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COUNTIF('ALINDAO_Cleaned Data'!W:W,"OUI")</f>
        <v>37</v>
      </c>
      <c r="C90" s="3">
        <f>COUNTIF('ALINDAO_Cleaned Data'!W:W,"non")</f>
        <v>12</v>
      </c>
      <c r="D90" s="3">
        <f>COUNTIF('ALINDAO_Cleaned Data'!W:W,"nsp")</f>
        <v>0</v>
      </c>
      <c r="E90" s="111">
        <f>SUM(B90:D90)</f>
        <v>49</v>
      </c>
      <c r="F90" s="10"/>
      <c r="G90" s="10"/>
      <c r="H90" s="10"/>
      <c r="I90" s="10"/>
      <c r="J90" s="10"/>
      <c r="K90" s="10"/>
      <c r="L90" s="10"/>
      <c r="M90" s="10"/>
      <c r="N90" s="10"/>
      <c r="O90" s="10"/>
      <c r="P90" s="10"/>
      <c r="Q90" s="10"/>
      <c r="R90" s="10"/>
    </row>
    <row r="91" spans="1:26" ht="26" x14ac:dyDescent="0.3">
      <c r="A91" s="53" t="s">
        <v>3246</v>
      </c>
      <c r="B91" s="7">
        <f>(B90/$B$3)</f>
        <v>0.75510204081632648</v>
      </c>
      <c r="C91" s="7">
        <f>(C90/$B$3)</f>
        <v>0.24489795918367346</v>
      </c>
      <c r="D91" s="7">
        <f>(D90/$B$3)</f>
        <v>0</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COUNTIF('ALINDAO_Cleaned Data'!CC:CC,"oui")</f>
        <v>0</v>
      </c>
      <c r="C95" s="3">
        <f>COUNTIF('ALINDAO_Cleaned Data'!CC:CC,"non")</f>
        <v>47</v>
      </c>
      <c r="D95" s="111">
        <f>SUM(A95:C95)</f>
        <v>47</v>
      </c>
      <c r="E95" s="10"/>
      <c r="F95" s="10"/>
      <c r="G95" s="10"/>
      <c r="H95" s="10"/>
      <c r="I95" s="10"/>
      <c r="J95" s="10"/>
      <c r="K95" s="10"/>
      <c r="L95" s="10"/>
      <c r="M95" s="10"/>
      <c r="N95" s="10"/>
      <c r="O95" s="10"/>
      <c r="P95" s="10"/>
      <c r="Q95" s="10"/>
      <c r="R95" s="10"/>
    </row>
    <row r="96" spans="1:26" ht="37" x14ac:dyDescent="0.3">
      <c r="A96" s="54" t="s">
        <v>1883</v>
      </c>
      <c r="B96" s="7">
        <f>(B95/$E$13)</f>
        <v>0</v>
      </c>
      <c r="C96" s="7">
        <f>(C95/$E$13)</f>
        <v>1</v>
      </c>
      <c r="D96" s="100">
        <f>SUM(A96:C96)</f>
        <v>1</v>
      </c>
      <c r="E96" s="10"/>
      <c r="F96" s="10"/>
      <c r="G96" s="10"/>
      <c r="H96" s="10"/>
      <c r="I96" s="10"/>
      <c r="J96" s="10"/>
      <c r="K96" s="10"/>
      <c r="L96" s="10"/>
      <c r="M96" s="10"/>
      <c r="N96" s="10"/>
      <c r="O96" s="10"/>
      <c r="P96" s="10"/>
      <c r="Q96" s="10"/>
      <c r="R96" s="10"/>
    </row>
    <row r="97" spans="1:18" x14ac:dyDescent="0.3">
      <c r="A97" s="10"/>
      <c r="B97" s="10"/>
      <c r="C97" s="10"/>
      <c r="D97" s="10"/>
      <c r="E97" s="10"/>
      <c r="F97" s="10"/>
      <c r="G97" s="10"/>
      <c r="H97" s="10"/>
      <c r="I97" s="10"/>
      <c r="J97" s="10"/>
      <c r="K97" s="10"/>
      <c r="L97" s="10"/>
      <c r="M97" s="10"/>
      <c r="N97" s="10"/>
      <c r="O97" s="10"/>
      <c r="P97" s="10"/>
      <c r="Q97" s="10"/>
      <c r="R97" s="10"/>
    </row>
    <row r="98" spans="1:18" x14ac:dyDescent="0.3">
      <c r="A98" s="10"/>
      <c r="B98" s="18" t="s">
        <v>1242</v>
      </c>
      <c r="C98" s="10"/>
      <c r="D98" s="10"/>
      <c r="E98" s="10"/>
      <c r="F98" s="10"/>
      <c r="G98" s="10"/>
      <c r="H98" s="10"/>
      <c r="I98" s="10"/>
      <c r="J98" s="10"/>
      <c r="K98" s="10"/>
      <c r="L98" s="10"/>
      <c r="M98" s="10"/>
      <c r="N98" s="10"/>
      <c r="O98" s="10"/>
      <c r="P98" s="10"/>
      <c r="Q98" s="10"/>
      <c r="R98" s="10"/>
    </row>
    <row r="99" spans="1:18" x14ac:dyDescent="0.3">
      <c r="A99" s="10"/>
      <c r="B99" s="21" t="e">
        <f>AVERAGE('ALINDAO_Cleaned Data'!CF:CF)</f>
        <v>#DIV/0!</v>
      </c>
      <c r="C99" s="22" t="s">
        <v>1243</v>
      </c>
      <c r="D99" s="21" t="s">
        <v>1897</v>
      </c>
      <c r="E99" s="10"/>
      <c r="F99" s="74" t="s">
        <v>2761</v>
      </c>
      <c r="G99" s="10"/>
      <c r="H99" s="10"/>
      <c r="I99" s="10"/>
      <c r="J99" s="10"/>
      <c r="K99" s="10"/>
      <c r="L99" s="10"/>
      <c r="M99" s="10"/>
      <c r="N99" s="10"/>
      <c r="O99" s="10"/>
      <c r="P99" s="10"/>
      <c r="Q99" s="10"/>
      <c r="R99" s="10"/>
    </row>
    <row r="100" spans="1:18" x14ac:dyDescent="0.3">
      <c r="A100" s="10"/>
      <c r="B100" s="10"/>
      <c r="C100" s="10"/>
      <c r="D100" s="10"/>
      <c r="E100" s="10"/>
      <c r="F100" s="10"/>
      <c r="G100" s="10"/>
      <c r="H100" s="10"/>
      <c r="I100" s="10"/>
      <c r="J100" s="10"/>
      <c r="K100" s="10"/>
      <c r="L100" s="10"/>
      <c r="M100" s="10"/>
      <c r="N100" s="10"/>
      <c r="O100" s="10"/>
      <c r="P100" s="10"/>
      <c r="Q100" s="10"/>
      <c r="R100" s="10"/>
    </row>
    <row r="101" spans="1:18" x14ac:dyDescent="0.3">
      <c r="A101" s="10"/>
      <c r="B101" s="18" t="s">
        <v>1244</v>
      </c>
      <c r="C101" s="10"/>
      <c r="D101" s="10"/>
      <c r="E101" s="10"/>
      <c r="F101" s="10"/>
      <c r="G101" s="10"/>
      <c r="H101" s="10"/>
      <c r="I101" s="10"/>
      <c r="J101" s="10"/>
      <c r="K101" s="10"/>
      <c r="L101" s="10"/>
      <c r="M101" s="10"/>
      <c r="N101" s="10"/>
      <c r="O101" s="10"/>
      <c r="P101" s="10"/>
      <c r="Q101" s="10"/>
      <c r="R101" s="10"/>
    </row>
    <row r="102" spans="1:18" x14ac:dyDescent="0.3">
      <c r="A102" s="10"/>
      <c r="B102" s="3"/>
      <c r="C102" s="11" t="s">
        <v>1210</v>
      </c>
      <c r="D102" s="11" t="s">
        <v>1209</v>
      </c>
      <c r="E102" s="11" t="s">
        <v>3259</v>
      </c>
      <c r="F102" s="110" t="s">
        <v>1206</v>
      </c>
      <c r="G102" s="10"/>
      <c r="H102" s="10"/>
      <c r="I102" s="10"/>
      <c r="J102" s="10"/>
      <c r="K102" s="10"/>
      <c r="L102" s="10"/>
      <c r="M102" s="10"/>
      <c r="N102" s="10"/>
      <c r="O102" s="10"/>
      <c r="P102" s="10"/>
      <c r="Q102" s="10"/>
      <c r="R102" s="10"/>
    </row>
    <row r="103" spans="1:18" x14ac:dyDescent="0.3">
      <c r="A103" s="10"/>
      <c r="B103" s="3" t="s">
        <v>1207</v>
      </c>
      <c r="C103" s="3">
        <f>COUNTIF('ALINDAO_Cleaned Data'!CG:CG,"OUI")</f>
        <v>0</v>
      </c>
      <c r="D103" s="3">
        <f>COUNTIF('ALINDAO_Cleaned Data'!CG:CG,"non")</f>
        <v>0</v>
      </c>
      <c r="E103" s="3">
        <f>COUNTIF('ALINDAO_Cleaned Data'!CG:CG,"nsp")</f>
        <v>0</v>
      </c>
      <c r="F103" s="111">
        <f>SUM(C103:D103)</f>
        <v>0</v>
      </c>
      <c r="G103" s="10"/>
      <c r="H103" s="10"/>
      <c r="I103" s="10"/>
      <c r="J103" s="10"/>
      <c r="K103" s="10"/>
      <c r="L103" s="10"/>
      <c r="M103" s="10"/>
      <c r="N103" s="10"/>
      <c r="O103" s="10"/>
      <c r="P103" s="10"/>
      <c r="Q103" s="10"/>
      <c r="R103" s="10"/>
    </row>
    <row r="104" spans="1:18" ht="37.5" x14ac:dyDescent="0.3">
      <c r="A104" s="10"/>
      <c r="B104" s="53" t="s">
        <v>3253</v>
      </c>
      <c r="C104" s="7" t="e">
        <f>(C103/$B$95)</f>
        <v>#DIV/0!</v>
      </c>
      <c r="D104" s="7" t="e">
        <f>(D103/$B$95)</f>
        <v>#DIV/0!</v>
      </c>
      <c r="E104" s="7" t="e">
        <f>(E103/$B$95)</f>
        <v>#DIV/0!</v>
      </c>
      <c r="F104" s="100" t="e">
        <f>SUM(C104:E104)</f>
        <v>#DIV/0!</v>
      </c>
      <c r="G104" s="10"/>
      <c r="H104" s="10"/>
      <c r="I104" s="10"/>
      <c r="J104" s="10"/>
      <c r="L104" s="10"/>
      <c r="M104" s="10"/>
      <c r="N104" s="10"/>
      <c r="O104" s="10"/>
      <c r="P104" s="10"/>
      <c r="Q104" s="10"/>
      <c r="R104" s="10"/>
    </row>
    <row r="105" spans="1:18" x14ac:dyDescent="0.3">
      <c r="A105" s="10"/>
      <c r="B105" s="14"/>
      <c r="C105" s="15"/>
      <c r="D105" s="15"/>
      <c r="E105" s="10"/>
      <c r="F105" s="10"/>
      <c r="G105" s="10"/>
      <c r="H105" s="10"/>
      <c r="I105" s="10"/>
      <c r="J105" s="10"/>
      <c r="L105" s="10"/>
      <c r="M105" s="10"/>
      <c r="N105" s="10"/>
      <c r="O105" s="10"/>
      <c r="P105" s="10"/>
      <c r="Q105" s="10"/>
      <c r="R105" s="10"/>
    </row>
    <row r="106" spans="1:18" x14ac:dyDescent="0.3">
      <c r="A106" s="10"/>
      <c r="B106" s="18" t="s">
        <v>1224</v>
      </c>
      <c r="C106" s="10"/>
      <c r="D106" s="10"/>
      <c r="E106" s="10"/>
      <c r="F106" s="10"/>
      <c r="G106" s="10"/>
      <c r="H106" s="10"/>
      <c r="I106" s="10"/>
      <c r="J106" s="10"/>
      <c r="K106" s="10"/>
      <c r="L106" s="10"/>
      <c r="M106" s="10"/>
      <c r="N106" s="10"/>
      <c r="O106" s="10"/>
      <c r="P106" s="10"/>
      <c r="Q106" s="10"/>
      <c r="R106" s="10"/>
    </row>
    <row r="107" spans="1:18" ht="28" x14ac:dyDescent="0.3">
      <c r="A107" s="10"/>
      <c r="B107" s="3"/>
      <c r="C107" s="12" t="s">
        <v>1226</v>
      </c>
      <c r="D107" s="12" t="s">
        <v>1405</v>
      </c>
      <c r="E107" s="12" t="s">
        <v>1225</v>
      </c>
      <c r="F107" s="12" t="s">
        <v>1404</v>
      </c>
      <c r="G107" s="110" t="s">
        <v>1206</v>
      </c>
      <c r="H107" s="10"/>
      <c r="I107" s="10"/>
      <c r="J107" s="10"/>
      <c r="K107" s="10"/>
      <c r="L107" s="10"/>
      <c r="M107" s="10"/>
      <c r="N107" s="10"/>
      <c r="O107" s="10"/>
      <c r="P107" s="10"/>
      <c r="Q107" s="10"/>
      <c r="R107" s="10"/>
    </row>
    <row r="108" spans="1:18" x14ac:dyDescent="0.3">
      <c r="A108" s="10"/>
      <c r="B108" s="3" t="s">
        <v>1207</v>
      </c>
      <c r="C108" s="3">
        <f>COUNTIF('ALINDAO_Cleaned Data'!CH:CH,"bcp_diminue")</f>
        <v>0</v>
      </c>
      <c r="D108" s="3">
        <f>COUNTIF('ALINDAO_Cleaned Data'!CH:CH,"peu_diminue")</f>
        <v>0</v>
      </c>
      <c r="E108" s="3">
        <f>COUNTIF('ALINDAO_Cleaned Data'!CH:CH,"bcp_augmente")</f>
        <v>0</v>
      </c>
      <c r="F108" s="3">
        <f>COUNTIF('ALINDAO_Cleaned Data'!CH:CH,"PEU_augmente")</f>
        <v>0</v>
      </c>
      <c r="G108" s="111">
        <f>SUM(C108:F108)</f>
        <v>0</v>
      </c>
      <c r="H108" s="10"/>
      <c r="I108" s="10"/>
      <c r="J108" s="10"/>
      <c r="K108" s="10"/>
      <c r="L108" s="10"/>
      <c r="M108" s="10"/>
      <c r="N108" s="10"/>
      <c r="O108" s="10"/>
      <c r="P108" s="10"/>
      <c r="Q108" s="10"/>
      <c r="R108" s="10"/>
    </row>
    <row r="109" spans="1:18" ht="60.5" x14ac:dyDescent="0.3">
      <c r="A109" s="10"/>
      <c r="B109" s="53" t="s">
        <v>3254</v>
      </c>
      <c r="C109" s="7" t="e">
        <f>(C108/$C$103)</f>
        <v>#DIV/0!</v>
      </c>
      <c r="D109" s="7" t="e">
        <f>(D108/$C$103)</f>
        <v>#DIV/0!</v>
      </c>
      <c r="E109" s="7" t="e">
        <f>(E108/$C$103)</f>
        <v>#DIV/0!</v>
      </c>
      <c r="F109" s="7" t="e">
        <f>(F108/$C$103)</f>
        <v>#DIV/0!</v>
      </c>
      <c r="G109" s="100" t="e">
        <f>SUM(C109:F109)</f>
        <v>#DIV/0!</v>
      </c>
      <c r="H109" s="10"/>
      <c r="I109" s="10"/>
      <c r="J109" s="10"/>
      <c r="K109" s="10"/>
      <c r="L109" s="10"/>
      <c r="M109" s="10"/>
      <c r="N109" s="10"/>
      <c r="O109" s="10"/>
      <c r="P109" s="10"/>
      <c r="Q109" s="10"/>
      <c r="R109" s="10"/>
    </row>
    <row r="110" spans="1:18" x14ac:dyDescent="0.3">
      <c r="A110" s="10"/>
      <c r="B110" s="10"/>
      <c r="C110" s="10"/>
      <c r="D110" s="10"/>
      <c r="E110" s="10"/>
      <c r="F110" s="10"/>
      <c r="G110" s="10"/>
      <c r="H110" s="10"/>
      <c r="I110" s="10"/>
      <c r="J110" s="10"/>
      <c r="K110" s="10"/>
      <c r="L110" s="10"/>
      <c r="M110" s="10"/>
      <c r="N110" s="10"/>
      <c r="O110" s="10"/>
      <c r="P110" s="10"/>
      <c r="Q110" s="10"/>
      <c r="R110" s="10"/>
    </row>
    <row r="111" spans="1:18" x14ac:dyDescent="0.3">
      <c r="A111" s="10"/>
      <c r="B111" s="1" t="s">
        <v>1245</v>
      </c>
      <c r="D111" s="10"/>
      <c r="E111" s="10"/>
      <c r="F111" s="10"/>
      <c r="G111" s="10"/>
      <c r="H111" s="10"/>
      <c r="I111" s="10"/>
      <c r="J111" s="10"/>
      <c r="K111" s="10"/>
      <c r="L111" s="10"/>
      <c r="M111" s="10"/>
      <c r="N111" s="10"/>
      <c r="O111" s="10"/>
      <c r="P111" s="10"/>
      <c r="Q111" s="10"/>
      <c r="R111" s="10"/>
    </row>
    <row r="112" spans="1:18" ht="42" x14ac:dyDescent="0.3">
      <c r="A112" s="10"/>
      <c r="B112" s="12" t="s">
        <v>1246</v>
      </c>
      <c r="C112" s="12" t="s">
        <v>1247</v>
      </c>
      <c r="D112" s="12" t="s">
        <v>1248</v>
      </c>
      <c r="E112" s="12" t="s">
        <v>1249</v>
      </c>
      <c r="F112" s="12" t="s">
        <v>3259</v>
      </c>
      <c r="G112" s="12" t="s">
        <v>1205</v>
      </c>
      <c r="H112" s="110" t="s">
        <v>1206</v>
      </c>
      <c r="I112" s="10"/>
      <c r="J112" s="10"/>
      <c r="K112" s="10"/>
      <c r="L112" s="10"/>
      <c r="M112" s="10"/>
      <c r="N112" s="10"/>
      <c r="O112" s="10"/>
      <c r="P112" s="10"/>
      <c r="Q112" s="10"/>
      <c r="R112" s="10"/>
    </row>
    <row r="113" spans="1:26" x14ac:dyDescent="0.3">
      <c r="A113" s="10"/>
      <c r="B113" s="3">
        <f>COUNTIF('ALINDAO_Cleaned Data'!CJ:CJ,"1")</f>
        <v>0</v>
      </c>
      <c r="C113" s="3">
        <f>COUNTIF('ALINDAO_Cleaned Data'!CK:CK,"1")</f>
        <v>0</v>
      </c>
      <c r="D113" s="3">
        <f>COUNTIF('ALINDAO_Cleaned Data'!CL:CL,"1")</f>
        <v>0</v>
      </c>
      <c r="E113" s="3">
        <f>COUNTIF('ALINDAO_Cleaned Data'!CM:CM,"1")</f>
        <v>0</v>
      </c>
      <c r="F113" s="3">
        <f>COUNTIF('ALINDAO_Cleaned Data'!CN:CN,"1")</f>
        <v>0</v>
      </c>
      <c r="G113" s="3">
        <f>COUNTIF('ALINDAO_Cleaned Data'!CO:CO,"1")</f>
        <v>0</v>
      </c>
      <c r="H113" s="111">
        <f>SUM(B113:G113)</f>
        <v>0</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COUNTIF('ALINDAO_Cleaned Data'!CZ:CZ,"1")</f>
        <v>0</v>
      </c>
      <c r="C117" s="3">
        <f>COUNTIF('ALINDAO_Cleaned Data'!DA:DA,"1")</f>
        <v>0</v>
      </c>
      <c r="D117" s="3">
        <f>COUNTIF('ALINDAO_Cleaned Data'!DB:DB,"1")</f>
        <v>0</v>
      </c>
      <c r="E117" s="3">
        <f>COUNTIF('ALINDAO_Cleaned Data'!DC:DC,"1")</f>
        <v>0</v>
      </c>
      <c r="F117" s="3">
        <f>COUNTIF('ALINDAO_Cleaned Data'!DD:DD,"1")</f>
        <v>0</v>
      </c>
      <c r="G117" s="3">
        <f>COUNTIF('ALINDAO_Cleaned Data'!DE:DE,"1")</f>
        <v>0</v>
      </c>
      <c r="H117" s="3">
        <f>COUNTIF('ALINDAO_Cleaned Data'!DF:DF,"1")</f>
        <v>0</v>
      </c>
      <c r="I117" s="3">
        <f>COUNTIF('ALINDAO_Cleaned Data'!DG:DG,"1")</f>
        <v>0</v>
      </c>
      <c r="J117" s="111">
        <f>SUM(B117:I117)</f>
        <v>0</v>
      </c>
      <c r="K117" s="10"/>
      <c r="L117" s="10"/>
      <c r="M117" s="10"/>
      <c r="N117" s="10"/>
      <c r="O117" s="10"/>
      <c r="P117" s="10"/>
      <c r="Q117" s="10"/>
      <c r="R117" s="10"/>
    </row>
    <row r="118" spans="1:26" ht="37.5" x14ac:dyDescent="0.3">
      <c r="A118" s="53" t="s">
        <v>1921</v>
      </c>
      <c r="B118" s="7" t="e">
        <f>B117/$B$95</f>
        <v>#DIV/0!</v>
      </c>
      <c r="C118" s="7" t="e">
        <f t="shared" ref="C118:I118" si="12">C117/$B$95</f>
        <v>#DIV/0!</v>
      </c>
      <c r="D118" s="7" t="e">
        <f t="shared" si="12"/>
        <v>#DIV/0!</v>
      </c>
      <c r="E118" s="7" t="e">
        <f t="shared" si="12"/>
        <v>#DIV/0!</v>
      </c>
      <c r="F118" s="7" t="e">
        <f t="shared" si="12"/>
        <v>#DIV/0!</v>
      </c>
      <c r="G118" s="7" t="e">
        <f t="shared" si="12"/>
        <v>#DIV/0!</v>
      </c>
      <c r="H118" s="7" t="e">
        <f t="shared" si="12"/>
        <v>#DIV/0!</v>
      </c>
      <c r="I118" s="7" t="e">
        <f t="shared" si="12"/>
        <v>#DIV/0!</v>
      </c>
      <c r="J118" s="100" t="e">
        <f>SUM(B118:I118)</f>
        <v>#DIV/0!</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COUNTIF('ALINDAO_Cleaned Data'!DI:DI,"OUI")</f>
        <v>0</v>
      </c>
      <c r="C122" s="3">
        <f>COUNTIF('ALINDAO_Cleaned Data'!DI:DI,"non")</f>
        <v>0</v>
      </c>
      <c r="D122" s="3">
        <f>COUNTIF('ALINDAO_Cleaned Data'!DI:DI,"nsp")</f>
        <v>0</v>
      </c>
      <c r="E122" s="111">
        <f>SUM(B122:D122)</f>
        <v>0</v>
      </c>
      <c r="F122" s="10"/>
      <c r="G122" s="10"/>
      <c r="H122" s="10"/>
      <c r="I122" s="10"/>
      <c r="J122" s="10"/>
      <c r="K122" s="10"/>
      <c r="L122" s="10"/>
      <c r="M122" s="10"/>
      <c r="N122" s="10"/>
      <c r="O122" s="10"/>
      <c r="P122" s="10"/>
      <c r="Q122" s="10"/>
      <c r="R122" s="10"/>
    </row>
    <row r="123" spans="1:26" ht="37.5" x14ac:dyDescent="0.3">
      <c r="A123" s="53" t="s">
        <v>1921</v>
      </c>
      <c r="B123" s="7" t="e">
        <f>(B122/$B$95)</f>
        <v>#DIV/0!</v>
      </c>
      <c r="C123" s="7" t="e">
        <f>(C122/$B$95)</f>
        <v>#DIV/0!</v>
      </c>
      <c r="D123" s="7" t="e">
        <f>(D122/$B$95)</f>
        <v>#DIV/0!</v>
      </c>
      <c r="E123" s="100" t="e">
        <f>SUM(B123:D123)</f>
        <v>#DIV/0!</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COUNTIF('ALINDAO_Cleaned Data'!DR:DR,"1")</f>
        <v>12</v>
      </c>
      <c r="C127" s="3">
        <f>COUNTIF('ALINDAO_Cleaned Data'!DS:DS,"1")</f>
        <v>11</v>
      </c>
      <c r="D127" s="3">
        <f>COUNTIF('ALINDAO_Cleaned Data'!DT:DT,"1")</f>
        <v>11</v>
      </c>
      <c r="E127" s="3">
        <f>COUNTIF('ALINDAO_Cleaned Data'!DU:DU,"1")</f>
        <v>0</v>
      </c>
      <c r="F127" s="3">
        <f>COUNTIF('ALINDAO_Cleaned Data'!DV:DV,"1")</f>
        <v>18</v>
      </c>
      <c r="G127" s="10"/>
      <c r="H127" s="10"/>
      <c r="I127" s="10"/>
      <c r="J127" s="10"/>
      <c r="K127" s="10"/>
      <c r="L127" s="10"/>
      <c r="M127" s="10"/>
      <c r="N127" s="10"/>
      <c r="O127" s="10"/>
      <c r="P127" s="10"/>
      <c r="Q127" s="10"/>
      <c r="R127" s="10"/>
    </row>
    <row r="128" spans="1:26" s="56" customFormat="1" ht="25.5" x14ac:dyDescent="0.3">
      <c r="A128" s="54" t="s">
        <v>3328</v>
      </c>
      <c r="B128" s="55">
        <f>(B127/$B$3)</f>
        <v>0.24489795918367346</v>
      </c>
      <c r="C128" s="55">
        <f t="shared" ref="C128:F128" si="13">(C127/$B$3)</f>
        <v>0.22448979591836735</v>
      </c>
      <c r="D128" s="55">
        <f t="shared" si="13"/>
        <v>0.22448979591836735</v>
      </c>
      <c r="E128" s="55">
        <f t="shared" si="13"/>
        <v>0</v>
      </c>
      <c r="F128" s="55">
        <f t="shared" si="13"/>
        <v>0.36734693877551022</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10"/>
      <c r="F129" s="10"/>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M131" s="112"/>
      <c r="N131" s="112"/>
      <c r="O131" s="98"/>
      <c r="P131" s="98"/>
      <c r="Q131" s="98"/>
      <c r="R131" s="98"/>
      <c r="S131" s="98"/>
      <c r="T131" s="98"/>
      <c r="U131" s="98"/>
      <c r="V131" s="98"/>
      <c r="W131" s="98"/>
      <c r="X131" s="98"/>
      <c r="Y131" s="98"/>
      <c r="Z131" s="98"/>
    </row>
    <row r="132" spans="1:26" ht="14.5" x14ac:dyDescent="0.3">
      <c r="A132" s="3">
        <f>COUNTIF('ALINDAO_Cleaned Data'!DY:DY,"1")</f>
        <v>13</v>
      </c>
      <c r="B132" s="3">
        <f>COUNTIF('ALINDAO_Cleaned Data'!DZ:DZ,"1")</f>
        <v>12</v>
      </c>
      <c r="C132" s="3">
        <f>COUNTIF('ALINDAO_Cleaned Data'!EA:EA,"1")</f>
        <v>7</v>
      </c>
      <c r="D132" s="3">
        <f>COUNTIF('ALINDAO_Cleaned Data'!EB:EB,"1")</f>
        <v>6</v>
      </c>
      <c r="E132" s="3">
        <f>COUNTIF('ALINDAO_Cleaned Data'!EC:EC,"1")</f>
        <v>1</v>
      </c>
      <c r="F132" s="3">
        <f>COUNTIF('ALINDAO_Cleaned Data'!ED:ED,"1")</f>
        <v>1</v>
      </c>
      <c r="G132" s="3">
        <f>COUNTIF('ALINDAO_Cleaned Data'!EE:EE,"1")</f>
        <v>0</v>
      </c>
      <c r="H132" s="3">
        <f>COUNTIF('ALINDAO_Cleaned Data'!EF:EF,"1")</f>
        <v>5</v>
      </c>
      <c r="I132" s="3">
        <f>COUNTIF('ALINDAO_Cleaned Data'!EG:EG,"1")</f>
        <v>12</v>
      </c>
      <c r="J132" s="3">
        <f>COUNTIF('ALINDAO_Cleaned Data'!EH:EH,"1")</f>
        <v>8</v>
      </c>
      <c r="K132" s="3">
        <f>COUNTIF('ALINDAO_Cleaned Data'!EI:EI,"1")</f>
        <v>0</v>
      </c>
      <c r="L132" s="3">
        <f>COUNTIF('ALINDAO_Cleaned Data'!EJ:EJ,"1")</f>
        <v>3</v>
      </c>
      <c r="M132" s="112"/>
      <c r="N132" s="10"/>
      <c r="O132" s="10"/>
      <c r="P132" s="10"/>
      <c r="Q132" s="10"/>
      <c r="R132" s="10"/>
    </row>
    <row r="133" spans="1:26" x14ac:dyDescent="0.3">
      <c r="A133" s="10"/>
      <c r="B133" s="10"/>
      <c r="C133" s="10"/>
      <c r="D133" s="10"/>
      <c r="E133" s="10"/>
      <c r="F133" s="10"/>
      <c r="G133" s="10"/>
      <c r="H133" s="10"/>
      <c r="I133" s="10"/>
      <c r="J133" s="10"/>
      <c r="K133" s="10"/>
      <c r="L133" s="74" t="s">
        <v>3343</v>
      </c>
      <c r="M133" s="10"/>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M135" s="10"/>
      <c r="N135" s="98"/>
      <c r="O135" s="98"/>
      <c r="P135" s="98"/>
      <c r="Q135" s="98"/>
      <c r="R135" s="98"/>
      <c r="S135" s="98"/>
      <c r="T135" s="98"/>
      <c r="U135" s="98"/>
      <c r="V135" s="98"/>
      <c r="W135" s="98"/>
      <c r="X135" s="98"/>
      <c r="Y135" s="98"/>
      <c r="Z135" s="98"/>
    </row>
    <row r="136" spans="1:26" x14ac:dyDescent="0.3">
      <c r="A136" s="24">
        <f>COUNTIF('ALINDAO_Cleaned Data'!EN:EN,"1")</f>
        <v>0</v>
      </c>
      <c r="B136" s="24">
        <f>COUNTIF('ALINDAO_Cleaned Data'!EO:EO,"1")</f>
        <v>1</v>
      </c>
      <c r="C136" s="24">
        <f>COUNTIF('ALINDAO_Cleaned Data'!EP:EP,"1")</f>
        <v>0</v>
      </c>
      <c r="D136" s="24">
        <f>COUNTIF('ALINDAO_Cleaned Data'!EQ:EQ,"1")</f>
        <v>1</v>
      </c>
      <c r="E136" s="24">
        <f>COUNTIF('ALINDAO_Cleaned Data'!ER:ER,"1")</f>
        <v>28</v>
      </c>
      <c r="F136" s="24">
        <f>COUNTIF('ALINDAO_Cleaned Data'!ES:ES,"1")</f>
        <v>3</v>
      </c>
      <c r="G136" s="24">
        <f>COUNTIF('ALINDAO_Cleaned Data'!ET:ET,"1")</f>
        <v>5</v>
      </c>
      <c r="H136" s="24">
        <f>COUNTIF('ALINDAO_Cleaned Data'!EU:EU,"1")</f>
        <v>1</v>
      </c>
      <c r="I136" s="24">
        <f>COUNTIF('ALINDAO_Cleaned Data'!EV:EV,"1")</f>
        <v>1</v>
      </c>
      <c r="J136" s="24">
        <f>COUNTIF('ALINDAO_Cleaned Data'!EW:EW,"1")</f>
        <v>11</v>
      </c>
      <c r="K136" s="24">
        <f>COUNTIF('ALINDAO_Cleaned Data'!EX:EX,"1")</f>
        <v>0</v>
      </c>
      <c r="L136" s="24">
        <f>COUNTIF('ALINDAO_Cleaned Data'!EY:EY,"1")</f>
        <v>0</v>
      </c>
      <c r="M136" s="10"/>
      <c r="N136" s="10"/>
      <c r="O136" s="10"/>
      <c r="P136" s="10"/>
      <c r="Q136" s="10"/>
      <c r="R136" s="10"/>
    </row>
    <row r="137" spans="1:26" x14ac:dyDescent="0.3">
      <c r="A137" s="10"/>
      <c r="B137" s="10"/>
      <c r="C137" s="10"/>
      <c r="D137" s="10"/>
      <c r="E137" s="10"/>
      <c r="F137" s="10"/>
      <c r="G137" s="10"/>
      <c r="H137" s="10"/>
      <c r="I137" s="10"/>
      <c r="J137" s="10"/>
      <c r="K137" s="10"/>
      <c r="L137" s="10"/>
      <c r="M137" s="10"/>
      <c r="N137" s="10"/>
      <c r="O137" s="10"/>
      <c r="P137" s="10"/>
      <c r="Q137" s="10"/>
      <c r="R137" s="10"/>
    </row>
    <row r="138" spans="1:26" ht="15.5" x14ac:dyDescent="0.35">
      <c r="A138" s="29" t="s">
        <v>1334</v>
      </c>
      <c r="B138" s="10"/>
      <c r="C138" s="10"/>
      <c r="D138" s="10"/>
      <c r="E138" s="10"/>
      <c r="F138" s="10"/>
      <c r="G138" s="10"/>
      <c r="H138" s="10"/>
      <c r="I138" s="10"/>
      <c r="J138" s="10"/>
      <c r="K138" s="10"/>
      <c r="L138" s="10"/>
      <c r="M138" s="10"/>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COUNTIF('ALINDAO_Cleaned Data'!FB:FB,"OUI")</f>
        <v>17</v>
      </c>
      <c r="C140" s="24">
        <f>COUNTIF('ALINDAO_Cleaned Data'!FB:FB,"non")</f>
        <v>32</v>
      </c>
      <c r="D140" s="111">
        <f>SUM(B140:C140)</f>
        <v>49</v>
      </c>
      <c r="E140" s="10"/>
      <c r="F140" s="10"/>
      <c r="G140" s="10"/>
      <c r="H140" s="10"/>
      <c r="I140" s="10"/>
      <c r="J140" s="10"/>
      <c r="K140" s="10"/>
      <c r="L140" s="10"/>
      <c r="M140" s="10"/>
      <c r="N140" s="10"/>
      <c r="O140" s="10"/>
      <c r="P140" s="10"/>
      <c r="Q140" s="10"/>
      <c r="R140" s="10"/>
    </row>
    <row r="141" spans="1:26" ht="26" x14ac:dyDescent="0.3">
      <c r="A141" s="53" t="s">
        <v>3246</v>
      </c>
      <c r="B141" s="7">
        <f>(B140/$B$3)</f>
        <v>0.34693877551020408</v>
      </c>
      <c r="C141" s="7">
        <f>(C140/$B$3)</f>
        <v>0.65306122448979587</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COUNTIF('ALINDAO_Cleaned Data'!FD:FD,"1")</f>
        <v>1</v>
      </c>
      <c r="D145" s="24">
        <f>COUNTIF('ALINDAO_Cleaned Data'!FE:FE,"1")</f>
        <v>0</v>
      </c>
      <c r="E145" s="24">
        <f>COUNTIF('ALINDAO_Cleaned Data'!FF:FF,"1")</f>
        <v>0</v>
      </c>
      <c r="F145" s="24">
        <f>COUNTIF('ALINDAO_Cleaned Data'!FG:FG,"1")</f>
        <v>0</v>
      </c>
      <c r="G145" s="24">
        <f>COUNTIF('ALINDAO_Cleaned Data'!FH:FH,"1")</f>
        <v>16</v>
      </c>
      <c r="H145" s="24">
        <f>COUNTIF('ALINDAO_Cleaned Data'!FI:FI,"1")</f>
        <v>0</v>
      </c>
      <c r="I145" s="24">
        <f>COUNTIF('ALINDAO_Cleaned Data'!FJ:FJ,"1")</f>
        <v>0</v>
      </c>
      <c r="J145" s="10"/>
      <c r="K145" s="10"/>
      <c r="L145" s="10"/>
      <c r="M145" s="10"/>
      <c r="N145" s="10"/>
      <c r="O145" s="10"/>
      <c r="P145" s="10"/>
      <c r="Q145" s="10"/>
      <c r="R145" s="10"/>
    </row>
    <row r="146" spans="1:26" ht="49" x14ac:dyDescent="0.3">
      <c r="A146" s="10"/>
      <c r="B146" s="53" t="s">
        <v>3255</v>
      </c>
      <c r="C146" s="7">
        <f>C145/$B$140</f>
        <v>5.8823529411764705E-2</v>
      </c>
      <c r="D146" s="7">
        <f t="shared" ref="D146:I146" si="14">D145/$B$140</f>
        <v>0</v>
      </c>
      <c r="E146" s="7">
        <f t="shared" si="14"/>
        <v>0</v>
      </c>
      <c r="F146" s="7">
        <f t="shared" si="14"/>
        <v>0</v>
      </c>
      <c r="G146" s="7">
        <f t="shared" si="14"/>
        <v>0.94117647058823528</v>
      </c>
      <c r="H146" s="7">
        <f t="shared" si="14"/>
        <v>0</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COUNTIF('ALINDAO_Cleaned Data'!FM:FM,"1")</f>
        <v>3</v>
      </c>
      <c r="D150" s="24">
        <f>COUNTIF('ALINDAO_Cleaned Data'!FN:FN,"1")</f>
        <v>12</v>
      </c>
      <c r="E150" s="24">
        <f>COUNTIF('ALINDAO_Cleaned Data'!FO:FO,"1")</f>
        <v>8</v>
      </c>
      <c r="F150" s="24">
        <f>COUNTIF('ALINDAO_Cleaned Data'!FP:FP,"1")</f>
        <v>2</v>
      </c>
      <c r="G150" s="24">
        <f>COUNTIF('ALINDAO_Cleaned Data'!FQ:FQ,"1")</f>
        <v>4</v>
      </c>
      <c r="H150" s="24">
        <f>COUNTIF('ALINDAO_Cleaned Data'!FR:FR,"1")</f>
        <v>4</v>
      </c>
      <c r="I150" s="24">
        <f>COUNTIF('ALINDAO_Cleaned Data'!FS:FS,"1")</f>
        <v>3</v>
      </c>
      <c r="J150" s="24">
        <f>COUNTIF('ALINDAO_Cleaned Data'!FT:FT,"1")</f>
        <v>1</v>
      </c>
      <c r="K150" s="24">
        <f>COUNTIF('ALINDAO_Cleaned Data'!FU:FU,"1")</f>
        <v>1</v>
      </c>
      <c r="L150" s="24">
        <f>COUNTIF('ALINDAO_Cleaned Data'!FV:FV,"1")</f>
        <v>1</v>
      </c>
      <c r="M150" s="24">
        <f>COUNTIF('ALINDAO_Cleaned Data'!FW:FW,"1")</f>
        <v>0</v>
      </c>
      <c r="N150" s="24">
        <f>COUNTIF('ALINDAO_Cleaned Data'!FX:FX,"1")</f>
        <v>0</v>
      </c>
      <c r="O150" s="24">
        <f>COUNTIF('ALINDAO_Cleaned Data'!FY:FY,"1")</f>
        <v>0</v>
      </c>
      <c r="P150" s="10"/>
      <c r="Q150" s="10"/>
      <c r="R150" s="10"/>
    </row>
    <row r="151" spans="1:26" ht="49" x14ac:dyDescent="0.3">
      <c r="A151" s="10"/>
      <c r="B151" s="53" t="s">
        <v>3255</v>
      </c>
      <c r="C151" s="7">
        <f>C150/$B$140</f>
        <v>0.17647058823529413</v>
      </c>
      <c r="D151" s="7">
        <f t="shared" ref="D151:O151" si="15">D150/$B$140</f>
        <v>0.70588235294117652</v>
      </c>
      <c r="E151" s="7">
        <f t="shared" si="15"/>
        <v>0.47058823529411764</v>
      </c>
      <c r="F151" s="7">
        <f t="shared" si="15"/>
        <v>0.11764705882352941</v>
      </c>
      <c r="G151" s="7">
        <f t="shared" si="15"/>
        <v>0.23529411764705882</v>
      </c>
      <c r="H151" s="7">
        <f t="shared" si="15"/>
        <v>0.23529411764705882</v>
      </c>
      <c r="I151" s="7">
        <f t="shared" si="15"/>
        <v>0.17647058823529413</v>
      </c>
      <c r="J151" s="7">
        <f t="shared" si="15"/>
        <v>5.8823529411764705E-2</v>
      </c>
      <c r="K151" s="7">
        <f t="shared" si="15"/>
        <v>5.8823529411764705E-2</v>
      </c>
      <c r="L151" s="7">
        <f t="shared" si="15"/>
        <v>5.8823529411764705E-2</v>
      </c>
      <c r="M151" s="7">
        <f t="shared" si="15"/>
        <v>0</v>
      </c>
      <c r="N151" s="7">
        <f t="shared" si="15"/>
        <v>0</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COUNTIF('ALINDAO_Cleaned Data'!GA:GA,"OUI")</f>
        <v>12</v>
      </c>
      <c r="D155" s="24">
        <f>COUNTIF('ALINDAO_Cleaned Data'!GA:GA,"non")</f>
        <v>5</v>
      </c>
      <c r="E155" s="111">
        <f>SUM(C155:D155)</f>
        <v>17</v>
      </c>
      <c r="F155" s="10"/>
      <c r="G155" s="10"/>
      <c r="H155" s="10"/>
      <c r="I155" s="10"/>
      <c r="J155" s="10"/>
      <c r="K155" s="10"/>
      <c r="L155" s="10"/>
      <c r="M155" s="10"/>
      <c r="N155" s="10"/>
      <c r="O155" s="10"/>
      <c r="P155" s="10"/>
      <c r="Q155" s="10"/>
      <c r="R155" s="10"/>
    </row>
    <row r="156" spans="1:26" ht="49" x14ac:dyDescent="0.3">
      <c r="A156" s="10"/>
      <c r="B156" s="53" t="s">
        <v>3255</v>
      </c>
      <c r="C156" s="7">
        <f>(C155/$B$140)</f>
        <v>0.70588235294117652</v>
      </c>
      <c r="D156" s="7">
        <f>(D155/$B$140)</f>
        <v>0.29411764705882354</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COUNTIF('ALINDAO_Cleaned Data'!GC:GC,"1")</f>
        <v>3</v>
      </c>
      <c r="E160" s="4">
        <f>COUNTIF('ALINDAO_Cleaned Data'!GD:GD,"1")</f>
        <v>2</v>
      </c>
      <c r="F160" s="4">
        <f>COUNTIF('ALINDAO_Cleaned Data'!GE:GE,"1")</f>
        <v>0</v>
      </c>
      <c r="G160" s="4">
        <f>COUNTIF('ALINDAO_Cleaned Data'!GF:GF,"1")</f>
        <v>0</v>
      </c>
      <c r="H160" s="4">
        <f>COUNTIF('ALINDAO_Cleaned Data'!GG:GG,"1")</f>
        <v>0</v>
      </c>
      <c r="I160" s="10"/>
      <c r="J160" s="10"/>
      <c r="K160" s="10"/>
      <c r="L160" s="10"/>
      <c r="M160" s="10"/>
      <c r="N160" s="10"/>
      <c r="O160" s="10"/>
      <c r="P160" s="10"/>
      <c r="Q160" s="10"/>
      <c r="R160" s="10"/>
    </row>
    <row r="161" spans="1:18" ht="49" x14ac:dyDescent="0.3">
      <c r="A161" s="10"/>
      <c r="B161" s="10"/>
      <c r="C161" s="53" t="s">
        <v>3256</v>
      </c>
      <c r="D161" s="7">
        <f>D160/$D$155</f>
        <v>0.6</v>
      </c>
      <c r="E161" s="7">
        <f t="shared" ref="E161:H161" si="16">E160/$D$155</f>
        <v>0.4</v>
      </c>
      <c r="F161" s="7">
        <f t="shared" si="16"/>
        <v>0</v>
      </c>
      <c r="G161" s="7">
        <f t="shared" si="16"/>
        <v>0</v>
      </c>
      <c r="H161" s="7">
        <f t="shared" si="16"/>
        <v>0</v>
      </c>
      <c r="I161" s="10"/>
      <c r="J161" s="10"/>
      <c r="K161" s="10"/>
      <c r="L161" s="10"/>
      <c r="M161" s="10"/>
      <c r="N161" s="10"/>
      <c r="O161" s="10"/>
      <c r="P161" s="10"/>
      <c r="Q161" s="10"/>
      <c r="R161" s="10"/>
    </row>
    <row r="162" spans="1:18" x14ac:dyDescent="0.3">
      <c r="A162" s="10"/>
      <c r="B162" s="10"/>
      <c r="C162" s="10"/>
      <c r="D162" s="10"/>
      <c r="E162" s="10"/>
      <c r="F162" s="10"/>
      <c r="G162" s="10"/>
      <c r="H162" s="10"/>
      <c r="I162" s="10"/>
      <c r="J162" s="10"/>
      <c r="K162" s="10"/>
      <c r="L162" s="10"/>
      <c r="M162" s="10"/>
      <c r="N162" s="10"/>
      <c r="O162" s="10"/>
      <c r="P162" s="10"/>
      <c r="Q162" s="10"/>
      <c r="R162" s="10"/>
    </row>
    <row r="163" spans="1:18" x14ac:dyDescent="0.3">
      <c r="A163" s="10"/>
      <c r="B163" s="10"/>
      <c r="C163" s="10"/>
      <c r="D163" s="10"/>
      <c r="E163" s="10"/>
      <c r="F163" s="10"/>
      <c r="G163" s="10"/>
      <c r="H163" s="10"/>
      <c r="I163" s="10"/>
      <c r="J163" s="10"/>
      <c r="K163" s="10"/>
      <c r="L163" s="10"/>
      <c r="M163" s="10"/>
      <c r="N163" s="10"/>
      <c r="O163" s="10"/>
      <c r="P163" s="10"/>
      <c r="Q163" s="10"/>
      <c r="R163" s="10"/>
    </row>
    <row r="164" spans="1:18" ht="15.5" x14ac:dyDescent="0.35">
      <c r="A164" s="9" t="s">
        <v>1301</v>
      </c>
      <c r="B164" s="10"/>
      <c r="C164" s="103" t="s">
        <v>3245</v>
      </c>
      <c r="D164" s="10"/>
      <c r="E164" s="10"/>
      <c r="F164" s="10"/>
      <c r="G164" s="10"/>
      <c r="H164" s="10"/>
      <c r="I164" s="10"/>
      <c r="J164" s="10"/>
      <c r="K164" s="10"/>
      <c r="L164" s="10"/>
      <c r="M164" s="10"/>
      <c r="N164" s="10"/>
      <c r="O164" s="10"/>
      <c r="P164" s="10"/>
      <c r="Q164" s="10"/>
      <c r="R164" s="10"/>
    </row>
    <row r="165" spans="1:18" x14ac:dyDescent="0.3">
      <c r="A165" s="10"/>
      <c r="B165" s="10"/>
      <c r="C165" s="10"/>
      <c r="D165" s="10"/>
      <c r="E165" s="10"/>
      <c r="F165" s="10"/>
      <c r="G165" s="10"/>
      <c r="H165" s="10"/>
      <c r="I165" s="10"/>
      <c r="J165" s="10"/>
      <c r="K165" s="10"/>
      <c r="L165" s="10"/>
      <c r="M165" s="10"/>
      <c r="N165" s="10"/>
      <c r="O165" s="10"/>
      <c r="P165" s="10"/>
      <c r="Q165" s="10"/>
      <c r="R165" s="10"/>
    </row>
    <row r="166" spans="1:18"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c r="N166" s="10"/>
      <c r="O166" s="10"/>
      <c r="P166" s="10"/>
      <c r="Q166" s="10"/>
      <c r="R166" s="10"/>
    </row>
    <row r="167" spans="1:18" x14ac:dyDescent="0.3">
      <c r="A167" s="24">
        <f>COUNTIF('ALINDAO_Cleaned Data'!GJ:GJ,"1")</f>
        <v>2</v>
      </c>
      <c r="B167" s="24">
        <f>COUNTIF('ALINDAO_Cleaned Data'!GK:GK,"1")</f>
        <v>10</v>
      </c>
      <c r="C167" s="24">
        <f>COUNTIF('ALINDAO_Cleaned Data'!GL:GL,"1")</f>
        <v>16</v>
      </c>
      <c r="D167" s="24">
        <f>COUNTIF('ALINDAO_Cleaned Data'!GM:GM,"1")</f>
        <v>6</v>
      </c>
      <c r="E167" s="24">
        <f>COUNTIF('ALINDAO_Cleaned Data'!GN:GN,"1")</f>
        <v>11</v>
      </c>
      <c r="F167" s="24">
        <f>COUNTIF('ALINDAO_Cleaned Data'!GO:GO,"1")</f>
        <v>5</v>
      </c>
      <c r="G167" s="24">
        <f>COUNTIF('ALINDAO_Cleaned Data'!GP:GP,"1")</f>
        <v>17</v>
      </c>
      <c r="H167" s="24">
        <f>COUNTIF('ALINDAO_Cleaned Data'!GQ:GQ,"1")</f>
        <v>6</v>
      </c>
      <c r="I167" s="24">
        <f>COUNTIF('ALINDAO_Cleaned Data'!GR:GR,"1")</f>
        <v>5</v>
      </c>
      <c r="J167" s="24">
        <f>COUNTIF('ALINDAO_Cleaned Data'!GS:GS,"1")</f>
        <v>0</v>
      </c>
      <c r="K167" s="24">
        <f>COUNTIF('ALINDAO_Cleaned Data'!GT:GT,"1")</f>
        <v>9</v>
      </c>
      <c r="L167" s="24">
        <f>COUNTIF('ALINDAO_Cleaned Data'!GU:GU,"1")</f>
        <v>4</v>
      </c>
      <c r="M167" s="24">
        <f>COUNTIF('ALINDAO_Cleaned Data'!GV:GV,"1")</f>
        <v>3</v>
      </c>
      <c r="N167" s="10"/>
      <c r="O167" s="10"/>
      <c r="P167" s="10"/>
      <c r="Q167" s="10"/>
      <c r="R167" s="10"/>
    </row>
    <row r="168" spans="1:18" x14ac:dyDescent="0.3">
      <c r="A168" s="10"/>
      <c r="B168" s="10"/>
      <c r="C168" s="10"/>
      <c r="D168" s="10"/>
      <c r="E168" s="10"/>
      <c r="F168" s="10"/>
      <c r="G168" s="10"/>
      <c r="H168" s="10"/>
      <c r="I168" s="10"/>
      <c r="J168" s="10"/>
      <c r="K168" s="10"/>
      <c r="L168" s="10"/>
      <c r="M168" s="74" t="s">
        <v>3344</v>
      </c>
      <c r="N168" s="10"/>
      <c r="O168" s="10"/>
      <c r="P168" s="10"/>
      <c r="Q168" s="10"/>
      <c r="R168" s="10"/>
    </row>
    <row r="169" spans="1:18" x14ac:dyDescent="0.3">
      <c r="A169" s="10"/>
      <c r="B169" s="10"/>
      <c r="C169" s="10"/>
      <c r="D169" s="10"/>
      <c r="E169" s="10"/>
      <c r="F169" s="10"/>
      <c r="G169" s="10"/>
      <c r="H169" s="10"/>
      <c r="I169" s="10"/>
      <c r="J169" s="10"/>
      <c r="K169" s="10"/>
      <c r="L169" s="10"/>
      <c r="M169" s="10"/>
      <c r="N169" s="10"/>
      <c r="O169" s="10"/>
      <c r="P169" s="10"/>
      <c r="Q169" s="10"/>
      <c r="R169" s="10"/>
    </row>
    <row r="170" spans="1:18" x14ac:dyDescent="0.3">
      <c r="A170" s="10"/>
      <c r="B170" s="10"/>
      <c r="C170" s="10"/>
      <c r="D170" s="10"/>
      <c r="E170" s="10"/>
      <c r="F170" s="10"/>
      <c r="G170" s="10"/>
      <c r="H170" s="10"/>
      <c r="I170" s="10"/>
      <c r="J170" s="10"/>
      <c r="K170" s="10"/>
      <c r="L170" s="10"/>
      <c r="M170" s="10"/>
      <c r="N170" s="10"/>
      <c r="O170" s="10"/>
      <c r="P170" s="10"/>
      <c r="Q170" s="10"/>
      <c r="R170" s="10"/>
    </row>
    <row r="171" spans="1:18" x14ac:dyDescent="0.3">
      <c r="A171" s="10"/>
      <c r="B171" s="10"/>
      <c r="C171" s="10"/>
      <c r="D171" s="10"/>
      <c r="E171" s="10"/>
      <c r="F171" s="10"/>
      <c r="G171" s="10"/>
      <c r="H171" s="10"/>
      <c r="I171" s="10"/>
      <c r="J171" s="10"/>
      <c r="K171" s="10"/>
      <c r="L171" s="10"/>
      <c r="M171" s="10"/>
      <c r="N171" s="10"/>
      <c r="O171" s="10"/>
      <c r="P171" s="10"/>
      <c r="Q171" s="10"/>
      <c r="R171" s="10"/>
    </row>
    <row r="172" spans="1:18" x14ac:dyDescent="0.3">
      <c r="A172" s="10"/>
      <c r="B172" s="10"/>
      <c r="C172" s="10"/>
      <c r="D172" s="10"/>
      <c r="E172" s="10"/>
      <c r="F172" s="10"/>
      <c r="G172" s="10"/>
      <c r="H172" s="10"/>
      <c r="I172" s="10"/>
      <c r="J172" s="10"/>
      <c r="K172" s="10"/>
      <c r="L172" s="10"/>
      <c r="M172" s="10"/>
      <c r="N172" s="10"/>
      <c r="O172" s="10"/>
      <c r="P172" s="10"/>
      <c r="Q172" s="10"/>
      <c r="R172" s="10"/>
    </row>
    <row r="173" spans="1:18" x14ac:dyDescent="0.3">
      <c r="A173" s="10"/>
      <c r="B173" s="10"/>
      <c r="C173" s="10"/>
      <c r="D173" s="10"/>
      <c r="E173" s="10"/>
      <c r="F173" s="10"/>
      <c r="G173" s="10"/>
      <c r="H173" s="10"/>
      <c r="I173" s="10"/>
      <c r="J173" s="10"/>
      <c r="K173" s="10"/>
      <c r="L173" s="10"/>
      <c r="M173" s="10"/>
      <c r="N173" s="10"/>
      <c r="O173" s="10"/>
      <c r="P173" s="10"/>
      <c r="Q173" s="10"/>
      <c r="R173" s="10"/>
    </row>
    <row r="174" spans="1:18" x14ac:dyDescent="0.3">
      <c r="A174" s="10"/>
      <c r="B174" s="10"/>
      <c r="C174" s="10"/>
      <c r="D174" s="10"/>
      <c r="E174" s="10"/>
      <c r="F174" s="10"/>
      <c r="G174" s="10"/>
      <c r="H174" s="10"/>
      <c r="I174" s="10"/>
      <c r="J174" s="10"/>
      <c r="K174" s="10"/>
      <c r="L174" s="10"/>
      <c r="M174" s="10"/>
      <c r="N174" s="10"/>
      <c r="O174" s="10"/>
      <c r="P174" s="10"/>
      <c r="Q174" s="10"/>
      <c r="R174" s="10"/>
    </row>
    <row r="175" spans="1:18" x14ac:dyDescent="0.3">
      <c r="A175" s="10"/>
      <c r="B175" s="10"/>
      <c r="C175" s="10"/>
      <c r="D175" s="10"/>
      <c r="E175" s="10"/>
      <c r="F175" s="10"/>
      <c r="G175" s="10"/>
      <c r="H175" s="10"/>
      <c r="I175" s="10"/>
      <c r="J175" s="10"/>
      <c r="K175" s="10"/>
      <c r="L175" s="10"/>
      <c r="M175" s="10"/>
      <c r="N175" s="10"/>
      <c r="O175" s="10"/>
      <c r="P175" s="10"/>
      <c r="Q175" s="10"/>
      <c r="R175" s="10"/>
    </row>
    <row r="176" spans="1:18" x14ac:dyDescent="0.3">
      <c r="A176" s="10"/>
      <c r="B176" s="10"/>
      <c r="C176" s="10"/>
      <c r="D176" s="10"/>
      <c r="E176" s="10"/>
      <c r="F176" s="10"/>
      <c r="G176" s="10"/>
      <c r="H176" s="10"/>
      <c r="I176" s="10"/>
      <c r="J176" s="10"/>
      <c r="K176" s="10"/>
      <c r="L176" s="10"/>
      <c r="M176" s="10"/>
      <c r="N176" s="10"/>
      <c r="O176" s="10"/>
      <c r="P176" s="10"/>
      <c r="Q176" s="10"/>
      <c r="R176" s="10"/>
    </row>
    <row r="177" spans="1:18" x14ac:dyDescent="0.3">
      <c r="A177" s="10"/>
      <c r="B177" s="10"/>
      <c r="C177" s="10"/>
      <c r="D177" s="10"/>
      <c r="E177" s="10"/>
      <c r="F177" s="10"/>
      <c r="G177" s="10"/>
      <c r="H177" s="10"/>
      <c r="I177" s="10"/>
      <c r="J177" s="10"/>
      <c r="K177" s="10"/>
      <c r="L177" s="10"/>
      <c r="M177" s="10"/>
      <c r="N177" s="10"/>
      <c r="O177" s="10"/>
      <c r="P177" s="10"/>
      <c r="Q177" s="10"/>
      <c r="R177" s="10"/>
    </row>
    <row r="178" spans="1:18" x14ac:dyDescent="0.3">
      <c r="A178" s="10"/>
      <c r="B178" s="10"/>
      <c r="C178" s="10"/>
      <c r="D178" s="10"/>
      <c r="E178" s="10"/>
      <c r="F178" s="10"/>
      <c r="G178" s="10"/>
      <c r="H178" s="10"/>
      <c r="I178" s="10"/>
      <c r="J178" s="10"/>
      <c r="K178" s="10"/>
      <c r="L178" s="10"/>
      <c r="M178" s="10"/>
      <c r="N178" s="10"/>
      <c r="O178" s="10"/>
      <c r="P178" s="10"/>
      <c r="Q178" s="10"/>
      <c r="R178" s="10"/>
    </row>
    <row r="179" spans="1:18" x14ac:dyDescent="0.3">
      <c r="A179" s="10"/>
      <c r="B179" s="10"/>
      <c r="C179" s="10"/>
      <c r="D179" s="10"/>
      <c r="E179" s="10"/>
      <c r="F179" s="10"/>
      <c r="G179" s="10"/>
      <c r="H179" s="10"/>
      <c r="I179" s="10"/>
      <c r="J179" s="10"/>
      <c r="K179" s="10"/>
      <c r="L179" s="10"/>
      <c r="M179" s="10"/>
      <c r="N179" s="10"/>
      <c r="O179" s="10"/>
      <c r="P179" s="10"/>
      <c r="Q179" s="10"/>
      <c r="R179" s="10"/>
    </row>
    <row r="180" spans="1:18" x14ac:dyDescent="0.3">
      <c r="A180" s="10"/>
      <c r="B180" s="10"/>
      <c r="C180" s="10"/>
      <c r="D180" s="10"/>
      <c r="E180" s="10"/>
      <c r="F180" s="10"/>
      <c r="G180" s="10"/>
      <c r="H180" s="10"/>
      <c r="I180" s="10"/>
      <c r="J180" s="10"/>
      <c r="K180" s="10"/>
      <c r="L180" s="10"/>
      <c r="M180" s="10"/>
      <c r="N180" s="10"/>
      <c r="O180" s="10"/>
      <c r="P180" s="10"/>
      <c r="Q180" s="10"/>
      <c r="R180" s="10"/>
    </row>
    <row r="181" spans="1:18" x14ac:dyDescent="0.3">
      <c r="A181" s="10"/>
      <c r="B181" s="10"/>
      <c r="C181" s="10"/>
      <c r="D181" s="10"/>
      <c r="E181" s="10"/>
      <c r="F181" s="10"/>
      <c r="G181" s="10"/>
      <c r="H181" s="10"/>
      <c r="I181" s="10"/>
      <c r="J181" s="10"/>
      <c r="K181" s="10"/>
      <c r="L181" s="10"/>
      <c r="M181" s="10"/>
      <c r="N181" s="10"/>
      <c r="O181" s="10"/>
      <c r="P181" s="10"/>
      <c r="Q181" s="10"/>
      <c r="R181" s="10"/>
    </row>
    <row r="182" spans="1:18" x14ac:dyDescent="0.3">
      <c r="A182" s="10"/>
      <c r="B182" s="10"/>
      <c r="C182" s="10"/>
      <c r="D182" s="10"/>
      <c r="E182" s="10"/>
      <c r="F182" s="10"/>
      <c r="G182" s="10"/>
      <c r="H182" s="10"/>
      <c r="I182" s="10"/>
      <c r="J182" s="10"/>
      <c r="K182" s="10"/>
      <c r="L182" s="10"/>
      <c r="M182" s="10"/>
      <c r="N182" s="10"/>
      <c r="O182" s="10"/>
      <c r="P182" s="10"/>
      <c r="Q182" s="10"/>
      <c r="R182" s="10"/>
    </row>
    <row r="183" spans="1:18" x14ac:dyDescent="0.3">
      <c r="A183" s="10"/>
      <c r="B183" s="10"/>
      <c r="C183" s="10"/>
      <c r="D183" s="10"/>
      <c r="E183" s="10"/>
      <c r="F183" s="10"/>
      <c r="G183" s="10"/>
      <c r="H183" s="10"/>
      <c r="I183" s="10"/>
      <c r="J183" s="10"/>
      <c r="K183" s="10"/>
      <c r="L183" s="10"/>
      <c r="M183" s="10"/>
      <c r="N183" s="10"/>
      <c r="O183" s="10"/>
      <c r="P183" s="10"/>
      <c r="Q183" s="10"/>
      <c r="R183" s="10"/>
    </row>
    <row r="184" spans="1:18" x14ac:dyDescent="0.3">
      <c r="A184" s="10"/>
      <c r="B184" s="10"/>
      <c r="C184" s="10"/>
      <c r="D184" s="10"/>
      <c r="E184" s="10"/>
      <c r="F184" s="10"/>
      <c r="G184" s="10"/>
      <c r="H184" s="10"/>
      <c r="I184" s="10"/>
      <c r="J184" s="10"/>
      <c r="K184" s="10"/>
      <c r="L184" s="10"/>
      <c r="M184" s="10"/>
      <c r="N184" s="10"/>
      <c r="O184" s="10"/>
      <c r="P184" s="10"/>
      <c r="Q184" s="10"/>
      <c r="R184" s="10"/>
    </row>
    <row r="185" spans="1:18" x14ac:dyDescent="0.3">
      <c r="A185" s="10"/>
      <c r="B185" s="10"/>
      <c r="C185" s="10"/>
      <c r="D185" s="10"/>
      <c r="E185" s="10"/>
      <c r="F185" s="10"/>
      <c r="G185" s="10"/>
      <c r="H185" s="10"/>
      <c r="I185" s="10"/>
      <c r="J185" s="10"/>
      <c r="K185" s="10"/>
      <c r="L185" s="10"/>
      <c r="M185" s="10"/>
      <c r="N185" s="10"/>
      <c r="O185" s="10"/>
      <c r="P185" s="10"/>
      <c r="Q185" s="10"/>
      <c r="R185" s="10"/>
    </row>
    <row r="186" spans="1:18" x14ac:dyDescent="0.3">
      <c r="A186" s="10"/>
      <c r="B186" s="10"/>
      <c r="C186" s="10"/>
      <c r="D186" s="10"/>
      <c r="E186" s="10"/>
      <c r="F186" s="10"/>
      <c r="G186" s="10"/>
      <c r="H186" s="10"/>
      <c r="I186" s="10"/>
      <c r="J186" s="10"/>
      <c r="K186" s="10"/>
      <c r="L186" s="10"/>
      <c r="M186" s="10"/>
      <c r="N186" s="10"/>
      <c r="O186" s="10"/>
      <c r="P186" s="10"/>
      <c r="Q186" s="10"/>
      <c r="R186" s="10"/>
    </row>
    <row r="187" spans="1:18" x14ac:dyDescent="0.3">
      <c r="A187" s="10"/>
      <c r="B187" s="10"/>
      <c r="C187" s="10"/>
      <c r="D187" s="10"/>
      <c r="E187" s="10"/>
      <c r="F187" s="10"/>
      <c r="G187" s="10"/>
      <c r="H187" s="10"/>
      <c r="I187" s="10"/>
      <c r="J187" s="10"/>
      <c r="K187" s="10"/>
      <c r="L187" s="10"/>
      <c r="M187" s="10"/>
      <c r="N187" s="10"/>
      <c r="O187" s="10"/>
      <c r="P187" s="10"/>
      <c r="Q187" s="10"/>
      <c r="R187" s="10"/>
    </row>
    <row r="188" spans="1:18" x14ac:dyDescent="0.3">
      <c r="A188" s="10"/>
      <c r="B188" s="10"/>
      <c r="C188" s="10"/>
      <c r="D188" s="10"/>
      <c r="E188" s="10"/>
      <c r="F188" s="10"/>
      <c r="G188" s="10"/>
      <c r="H188" s="10"/>
      <c r="I188" s="10"/>
      <c r="J188" s="10"/>
      <c r="K188" s="10"/>
      <c r="L188" s="10"/>
      <c r="M188" s="10"/>
      <c r="N188" s="10"/>
      <c r="O188" s="10"/>
      <c r="P188" s="10"/>
      <c r="Q188" s="10"/>
      <c r="R188" s="10"/>
    </row>
    <row r="189" spans="1:18" x14ac:dyDescent="0.3">
      <c r="A189" s="10"/>
      <c r="B189" s="10"/>
      <c r="C189" s="10"/>
      <c r="D189" s="10"/>
      <c r="E189" s="10"/>
      <c r="F189" s="10"/>
      <c r="G189" s="10"/>
      <c r="H189" s="10"/>
      <c r="I189" s="10"/>
      <c r="J189" s="10"/>
      <c r="K189" s="10"/>
      <c r="L189" s="10"/>
      <c r="M189" s="10"/>
      <c r="N189" s="10"/>
      <c r="O189" s="10"/>
      <c r="P189" s="10"/>
      <c r="Q189" s="10"/>
      <c r="R189" s="10"/>
    </row>
    <row r="190" spans="1:18" x14ac:dyDescent="0.3">
      <c r="A190" s="10"/>
      <c r="B190" s="10"/>
      <c r="C190" s="10"/>
      <c r="D190" s="10"/>
      <c r="E190" s="10"/>
      <c r="F190" s="10"/>
      <c r="G190" s="10"/>
      <c r="H190" s="10"/>
      <c r="I190" s="10"/>
      <c r="J190" s="10"/>
      <c r="K190" s="10"/>
      <c r="L190" s="10"/>
      <c r="M190" s="10"/>
      <c r="N190" s="10"/>
      <c r="O190" s="10"/>
      <c r="P190" s="10"/>
      <c r="Q190" s="10"/>
      <c r="R190" s="10"/>
    </row>
    <row r="191" spans="1:18" x14ac:dyDescent="0.3">
      <c r="A191" s="10"/>
      <c r="B191" s="10"/>
      <c r="C191" s="10"/>
      <c r="D191" s="10"/>
      <c r="E191" s="10"/>
      <c r="F191" s="10"/>
      <c r="G191" s="10"/>
      <c r="H191" s="10"/>
      <c r="I191" s="10"/>
      <c r="J191" s="10"/>
      <c r="K191" s="10"/>
      <c r="L191" s="10"/>
      <c r="M191" s="10"/>
      <c r="N191" s="10"/>
      <c r="O191" s="10"/>
      <c r="P191" s="10"/>
      <c r="Q191" s="10"/>
      <c r="R191" s="10"/>
    </row>
    <row r="192" spans="1:18" x14ac:dyDescent="0.3">
      <c r="A192" s="10"/>
      <c r="B192" s="10"/>
      <c r="C192" s="10"/>
      <c r="D192" s="10"/>
      <c r="E192" s="10"/>
      <c r="F192" s="10"/>
      <c r="G192" s="10"/>
      <c r="H192" s="10"/>
      <c r="I192" s="10"/>
      <c r="J192" s="10"/>
      <c r="K192" s="10"/>
      <c r="L192" s="10"/>
      <c r="M192" s="10"/>
      <c r="N192" s="10"/>
      <c r="O192" s="10"/>
      <c r="P192" s="10"/>
      <c r="Q192" s="10"/>
      <c r="R192" s="10"/>
    </row>
    <row r="193" spans="1:18" x14ac:dyDescent="0.3">
      <c r="A193" s="10"/>
      <c r="B193" s="10"/>
      <c r="C193" s="10"/>
      <c r="D193" s="10"/>
      <c r="E193" s="10"/>
      <c r="F193" s="10"/>
      <c r="G193" s="10"/>
      <c r="H193" s="10"/>
      <c r="I193" s="10"/>
      <c r="J193" s="10"/>
      <c r="K193" s="10"/>
      <c r="L193" s="10"/>
      <c r="M193" s="10"/>
      <c r="N193" s="10"/>
      <c r="O193" s="10"/>
      <c r="P193" s="10"/>
      <c r="Q193" s="10"/>
      <c r="R193" s="10"/>
    </row>
    <row r="194" spans="1:18" x14ac:dyDescent="0.3">
      <c r="A194" s="10"/>
      <c r="B194" s="10"/>
      <c r="C194" s="10"/>
      <c r="D194" s="10"/>
      <c r="E194" s="10"/>
      <c r="F194" s="10"/>
      <c r="G194" s="10"/>
      <c r="H194" s="10"/>
      <c r="I194" s="10"/>
      <c r="J194" s="10"/>
      <c r="K194" s="10"/>
      <c r="L194" s="10"/>
      <c r="M194" s="10"/>
      <c r="N194" s="10"/>
      <c r="O194" s="10"/>
      <c r="P194" s="10"/>
      <c r="Q194" s="10"/>
      <c r="R194" s="10"/>
    </row>
    <row r="195" spans="1:18" x14ac:dyDescent="0.3">
      <c r="A195" s="10"/>
      <c r="B195" s="10"/>
      <c r="C195" s="10"/>
      <c r="D195" s="10"/>
      <c r="E195" s="10"/>
      <c r="F195" s="10"/>
      <c r="G195" s="10"/>
      <c r="H195" s="10"/>
      <c r="I195" s="10"/>
      <c r="J195" s="10"/>
      <c r="K195" s="10"/>
      <c r="L195" s="10"/>
      <c r="M195" s="10"/>
      <c r="N195" s="10"/>
      <c r="O195" s="10"/>
      <c r="P195" s="10"/>
      <c r="Q195" s="10"/>
      <c r="R195" s="10"/>
    </row>
    <row r="196" spans="1:18" x14ac:dyDescent="0.3">
      <c r="A196" s="10"/>
      <c r="B196" s="10"/>
      <c r="C196" s="10"/>
      <c r="D196" s="10"/>
      <c r="E196" s="10"/>
      <c r="F196" s="10"/>
      <c r="G196" s="10"/>
      <c r="H196" s="10"/>
      <c r="I196" s="10"/>
      <c r="J196" s="10"/>
      <c r="K196" s="10"/>
      <c r="L196" s="10"/>
      <c r="M196" s="10"/>
      <c r="N196" s="10"/>
      <c r="O196" s="10"/>
      <c r="P196" s="10"/>
      <c r="Q196" s="10"/>
      <c r="R196" s="10"/>
    </row>
    <row r="197" spans="1:18" x14ac:dyDescent="0.3">
      <c r="A197" s="10"/>
      <c r="B197" s="10"/>
      <c r="C197" s="10"/>
      <c r="D197" s="10"/>
      <c r="E197" s="10"/>
      <c r="F197" s="10"/>
      <c r="G197" s="10"/>
      <c r="H197" s="10"/>
      <c r="I197" s="10"/>
      <c r="J197" s="10"/>
      <c r="K197" s="10"/>
      <c r="L197" s="10"/>
      <c r="M197" s="10"/>
      <c r="N197" s="10"/>
      <c r="O197" s="10"/>
      <c r="P197" s="10"/>
      <c r="Q197" s="10"/>
      <c r="R197" s="10"/>
    </row>
    <row r="198" spans="1:18" x14ac:dyDescent="0.3">
      <c r="A198" s="10"/>
      <c r="B198" s="10"/>
      <c r="C198" s="10"/>
      <c r="D198" s="10"/>
      <c r="E198" s="10"/>
      <c r="F198" s="10"/>
      <c r="G198" s="10"/>
      <c r="H198" s="10"/>
      <c r="I198" s="10"/>
      <c r="J198" s="10"/>
      <c r="K198" s="10"/>
      <c r="L198" s="10"/>
      <c r="M198" s="10"/>
      <c r="N198" s="10"/>
      <c r="O198" s="10"/>
      <c r="P198" s="10"/>
      <c r="Q198" s="10"/>
      <c r="R198" s="10"/>
    </row>
    <row r="199" spans="1:18" x14ac:dyDescent="0.3">
      <c r="A199" s="10"/>
      <c r="B199" s="10"/>
      <c r="C199" s="10"/>
      <c r="D199" s="10"/>
      <c r="E199" s="10"/>
      <c r="F199" s="10"/>
      <c r="G199" s="10"/>
      <c r="H199" s="10"/>
      <c r="I199" s="10"/>
      <c r="J199" s="10"/>
      <c r="K199" s="10"/>
      <c r="L199" s="10"/>
      <c r="M199" s="10"/>
      <c r="N199" s="10"/>
      <c r="O199" s="10"/>
      <c r="P199" s="10"/>
      <c r="Q199" s="10"/>
      <c r="R199" s="10"/>
    </row>
    <row r="200" spans="1:18" x14ac:dyDescent="0.3">
      <c r="A200" s="10"/>
      <c r="B200" s="10"/>
      <c r="C200" s="10"/>
      <c r="D200" s="10"/>
      <c r="E200" s="10"/>
      <c r="F200" s="10"/>
      <c r="G200" s="10"/>
      <c r="H200" s="10"/>
      <c r="I200" s="10"/>
      <c r="J200" s="10"/>
      <c r="K200" s="10"/>
      <c r="L200" s="10"/>
      <c r="M200" s="10"/>
      <c r="N200" s="10"/>
      <c r="O200" s="10"/>
      <c r="P200" s="10"/>
      <c r="Q200" s="10"/>
      <c r="R200" s="10"/>
    </row>
    <row r="201" spans="1:18" x14ac:dyDescent="0.3">
      <c r="A201" s="10"/>
      <c r="B201" s="10"/>
      <c r="C201" s="10"/>
      <c r="D201" s="10"/>
      <c r="E201" s="10"/>
      <c r="F201" s="10"/>
      <c r="G201" s="10"/>
      <c r="H201" s="10"/>
      <c r="I201" s="10"/>
      <c r="J201" s="10"/>
      <c r="K201" s="10"/>
      <c r="L201" s="10"/>
      <c r="M201" s="10"/>
      <c r="N201" s="10"/>
      <c r="O201" s="10"/>
      <c r="P201" s="10"/>
      <c r="Q201" s="10"/>
      <c r="R201" s="10"/>
    </row>
    <row r="202" spans="1:18" x14ac:dyDescent="0.3">
      <c r="A202" s="10"/>
      <c r="B202" s="10"/>
      <c r="C202" s="10"/>
      <c r="D202" s="10"/>
      <c r="E202" s="10"/>
      <c r="F202" s="10"/>
      <c r="G202" s="10"/>
      <c r="H202" s="10"/>
      <c r="I202" s="10"/>
      <c r="J202" s="10"/>
      <c r="K202" s="10"/>
      <c r="L202" s="10"/>
      <c r="M202" s="10"/>
      <c r="N202" s="10"/>
      <c r="O202" s="10"/>
      <c r="P202" s="10"/>
      <c r="Q202" s="10"/>
      <c r="R202" s="10"/>
    </row>
    <row r="203" spans="1:18" x14ac:dyDescent="0.3">
      <c r="A203" s="10"/>
      <c r="B203" s="10"/>
      <c r="C203" s="10"/>
      <c r="D203" s="10"/>
      <c r="E203" s="10"/>
      <c r="F203" s="10"/>
      <c r="G203" s="10"/>
      <c r="H203" s="10"/>
      <c r="I203" s="10"/>
      <c r="J203" s="10"/>
      <c r="K203" s="10"/>
      <c r="L203" s="10"/>
      <c r="M203" s="10"/>
      <c r="N203" s="10"/>
      <c r="O203" s="10"/>
      <c r="P203" s="10"/>
      <c r="Q203" s="10"/>
      <c r="R203" s="10"/>
    </row>
    <row r="204" spans="1:18" x14ac:dyDescent="0.3">
      <c r="A204" s="10"/>
      <c r="B204" s="10"/>
      <c r="C204" s="10"/>
      <c r="D204" s="10"/>
      <c r="E204" s="10"/>
      <c r="F204" s="10"/>
      <c r="G204" s="10"/>
      <c r="H204" s="10"/>
      <c r="I204" s="10"/>
      <c r="J204" s="10"/>
      <c r="K204" s="10"/>
      <c r="L204" s="10"/>
      <c r="M204" s="10"/>
      <c r="N204" s="10"/>
      <c r="O204" s="10"/>
      <c r="P204" s="10"/>
      <c r="Q204" s="10"/>
      <c r="R204" s="10"/>
    </row>
    <row r="205" spans="1:18" x14ac:dyDescent="0.3">
      <c r="A205" s="10"/>
      <c r="B205" s="10"/>
      <c r="C205" s="10"/>
      <c r="D205" s="10"/>
      <c r="E205" s="10"/>
      <c r="F205" s="10"/>
      <c r="G205" s="10"/>
      <c r="H205" s="10"/>
      <c r="I205" s="10"/>
      <c r="J205" s="10"/>
      <c r="K205" s="10"/>
      <c r="L205" s="10"/>
      <c r="M205" s="10"/>
      <c r="N205" s="10"/>
      <c r="O205" s="10"/>
      <c r="P205" s="10"/>
      <c r="Q205" s="10"/>
      <c r="R205" s="10"/>
    </row>
    <row r="206" spans="1:18" x14ac:dyDescent="0.3">
      <c r="A206" s="10"/>
      <c r="B206" s="10"/>
      <c r="C206" s="10"/>
      <c r="D206" s="10"/>
      <c r="E206" s="10"/>
      <c r="F206" s="10"/>
      <c r="G206" s="10"/>
      <c r="H206" s="10"/>
      <c r="I206" s="10"/>
      <c r="J206" s="10"/>
      <c r="K206" s="10"/>
      <c r="L206" s="10"/>
      <c r="M206" s="10"/>
      <c r="N206" s="10"/>
      <c r="O206" s="10"/>
      <c r="P206" s="10"/>
      <c r="Q206" s="10"/>
      <c r="R206" s="10"/>
    </row>
    <row r="207" spans="1:18" x14ac:dyDescent="0.3">
      <c r="A207" s="10"/>
      <c r="B207" s="10"/>
      <c r="C207" s="10"/>
      <c r="D207" s="10"/>
      <c r="E207" s="10"/>
      <c r="F207" s="10"/>
      <c r="G207" s="10"/>
      <c r="H207" s="10"/>
      <c r="I207" s="10"/>
      <c r="J207" s="10"/>
      <c r="K207" s="10"/>
      <c r="L207" s="10"/>
      <c r="M207" s="10"/>
      <c r="N207" s="10"/>
      <c r="O207" s="10"/>
      <c r="P207" s="10"/>
      <c r="Q207" s="10"/>
      <c r="R207" s="10"/>
    </row>
    <row r="208" spans="1:18" x14ac:dyDescent="0.3">
      <c r="A208" s="10"/>
      <c r="B208" s="10"/>
      <c r="C208" s="10"/>
      <c r="D208" s="10"/>
      <c r="E208" s="10"/>
      <c r="F208" s="10"/>
      <c r="G208" s="10"/>
      <c r="H208" s="10"/>
      <c r="I208" s="10"/>
      <c r="J208" s="10"/>
      <c r="K208" s="10"/>
      <c r="L208" s="10"/>
      <c r="M208" s="10"/>
      <c r="N208" s="10"/>
      <c r="O208" s="10"/>
      <c r="P208" s="10"/>
      <c r="Q208" s="10"/>
      <c r="R208" s="10"/>
    </row>
    <row r="209" spans="1:18" x14ac:dyDescent="0.3">
      <c r="A209" s="10"/>
      <c r="B209" s="10"/>
      <c r="C209" s="10"/>
      <c r="D209" s="10"/>
      <c r="E209" s="10"/>
      <c r="F209" s="10"/>
      <c r="G209" s="10"/>
      <c r="H209" s="10"/>
      <c r="I209" s="10"/>
      <c r="J209" s="10"/>
      <c r="K209" s="10"/>
      <c r="L209" s="10"/>
      <c r="M209" s="10"/>
      <c r="N209" s="10"/>
      <c r="O209" s="10"/>
      <c r="P209" s="10"/>
      <c r="Q209" s="10"/>
      <c r="R209" s="10"/>
    </row>
    <row r="210" spans="1:18" x14ac:dyDescent="0.3">
      <c r="A210" s="10"/>
      <c r="B210" s="10"/>
      <c r="C210" s="10"/>
      <c r="D210" s="10"/>
      <c r="E210" s="10"/>
      <c r="F210" s="10"/>
      <c r="G210" s="10"/>
      <c r="H210" s="10"/>
      <c r="I210" s="10"/>
      <c r="J210" s="10"/>
      <c r="K210" s="10"/>
      <c r="L210" s="10"/>
      <c r="M210" s="10"/>
      <c r="N210" s="10"/>
      <c r="O210" s="10"/>
      <c r="P210" s="10"/>
      <c r="Q210" s="10"/>
      <c r="R210" s="10"/>
    </row>
    <row r="211" spans="1:18" x14ac:dyDescent="0.3">
      <c r="A211" s="10"/>
      <c r="B211" s="10"/>
      <c r="C211" s="10"/>
      <c r="D211" s="10"/>
      <c r="E211" s="10"/>
      <c r="F211" s="10"/>
      <c r="G211" s="10"/>
      <c r="H211" s="10"/>
      <c r="I211" s="10"/>
      <c r="J211" s="10"/>
      <c r="K211" s="10"/>
      <c r="L211" s="10"/>
      <c r="M211" s="10"/>
      <c r="N211" s="10"/>
      <c r="O211" s="10"/>
      <c r="P211" s="10"/>
      <c r="Q211" s="10"/>
      <c r="R211" s="10"/>
    </row>
    <row r="212" spans="1:18" x14ac:dyDescent="0.3">
      <c r="A212" s="10"/>
      <c r="B212" s="10"/>
      <c r="C212" s="10"/>
      <c r="D212" s="10"/>
      <c r="E212" s="10"/>
      <c r="F212" s="10"/>
      <c r="G212" s="10"/>
      <c r="H212" s="10"/>
      <c r="I212" s="10"/>
      <c r="J212" s="10"/>
      <c r="K212" s="10"/>
      <c r="L212" s="10"/>
      <c r="M212" s="10"/>
      <c r="N212" s="10"/>
      <c r="O212" s="10"/>
      <c r="P212" s="10"/>
      <c r="Q212" s="10"/>
      <c r="R212" s="10"/>
    </row>
    <row r="213" spans="1:18" x14ac:dyDescent="0.3">
      <c r="A213" s="10"/>
      <c r="B213" s="10"/>
      <c r="C213" s="10"/>
      <c r="D213" s="10"/>
      <c r="E213" s="10"/>
      <c r="F213" s="10"/>
      <c r="G213" s="10"/>
      <c r="H213" s="10"/>
      <c r="I213" s="10"/>
      <c r="J213" s="10"/>
      <c r="K213" s="10"/>
      <c r="L213" s="10"/>
      <c r="M213" s="10"/>
      <c r="N213" s="10"/>
      <c r="O213" s="10"/>
      <c r="P213" s="10"/>
      <c r="Q213" s="10"/>
      <c r="R213" s="10"/>
    </row>
    <row r="214" spans="1:18" x14ac:dyDescent="0.3">
      <c r="A214" s="10"/>
      <c r="B214" s="10"/>
      <c r="C214" s="10"/>
      <c r="D214" s="10"/>
      <c r="E214" s="10"/>
      <c r="F214" s="10"/>
      <c r="G214" s="10"/>
      <c r="H214" s="10"/>
      <c r="I214" s="10"/>
      <c r="J214" s="10"/>
      <c r="K214" s="10"/>
      <c r="L214" s="10"/>
      <c r="M214" s="10"/>
      <c r="N214" s="10"/>
      <c r="O214" s="10"/>
      <c r="P214" s="10"/>
      <c r="Q214" s="10"/>
      <c r="R214" s="10"/>
    </row>
    <row r="215" spans="1:18" x14ac:dyDescent="0.3">
      <c r="A215" s="10"/>
      <c r="B215" s="10"/>
      <c r="C215" s="10"/>
      <c r="D215" s="10"/>
      <c r="E215" s="10"/>
      <c r="F215" s="10"/>
      <c r="G215" s="10"/>
      <c r="H215" s="10"/>
      <c r="I215" s="10"/>
      <c r="J215" s="10"/>
      <c r="K215" s="10"/>
      <c r="L215" s="10"/>
      <c r="M215" s="10"/>
      <c r="N215" s="10"/>
      <c r="O215" s="10"/>
      <c r="P215" s="10"/>
      <c r="Q215" s="10"/>
      <c r="R215" s="10"/>
    </row>
    <row r="216" spans="1:18" x14ac:dyDescent="0.3">
      <c r="A216" s="10"/>
      <c r="B216" s="10"/>
      <c r="C216" s="10"/>
      <c r="D216" s="10"/>
      <c r="E216" s="10"/>
      <c r="F216" s="10"/>
      <c r="G216" s="10"/>
      <c r="H216" s="10"/>
      <c r="I216" s="10"/>
      <c r="J216" s="10"/>
      <c r="K216" s="10"/>
      <c r="L216" s="10"/>
      <c r="M216" s="10"/>
      <c r="N216" s="10"/>
      <c r="O216" s="10"/>
      <c r="P216" s="10"/>
      <c r="Q216" s="10"/>
      <c r="R216" s="10"/>
    </row>
    <row r="217" spans="1:18" x14ac:dyDescent="0.3">
      <c r="A217" s="10"/>
      <c r="B217" s="10"/>
      <c r="C217" s="10"/>
      <c r="D217" s="10"/>
      <c r="E217" s="10"/>
      <c r="F217" s="10"/>
      <c r="G217" s="10"/>
      <c r="H217" s="10"/>
      <c r="I217" s="10"/>
      <c r="J217" s="10"/>
      <c r="K217" s="10"/>
      <c r="L217" s="10"/>
      <c r="M217" s="10"/>
      <c r="N217" s="10"/>
      <c r="O217" s="10"/>
      <c r="P217" s="10"/>
      <c r="Q217" s="10"/>
      <c r="R217" s="10"/>
    </row>
    <row r="218" spans="1:18" x14ac:dyDescent="0.3">
      <c r="A218" s="10"/>
      <c r="B218" s="10"/>
      <c r="C218" s="10"/>
      <c r="D218" s="10"/>
      <c r="E218" s="10"/>
      <c r="F218" s="10"/>
      <c r="G218" s="10"/>
      <c r="H218" s="10"/>
      <c r="I218" s="10"/>
      <c r="J218" s="10"/>
      <c r="K218" s="10"/>
      <c r="L218" s="10"/>
      <c r="M218" s="10"/>
      <c r="N218" s="10"/>
      <c r="O218" s="10"/>
      <c r="P218" s="10"/>
      <c r="Q218" s="10"/>
      <c r="R218" s="10"/>
    </row>
    <row r="219" spans="1:18" x14ac:dyDescent="0.3">
      <c r="A219" s="10"/>
      <c r="B219" s="10"/>
      <c r="C219" s="10"/>
      <c r="D219" s="10"/>
      <c r="E219" s="10"/>
      <c r="F219" s="10"/>
      <c r="G219" s="10"/>
      <c r="H219" s="10"/>
      <c r="I219" s="10"/>
      <c r="J219" s="10"/>
      <c r="K219" s="10"/>
      <c r="L219" s="10"/>
      <c r="M219" s="10"/>
      <c r="N219" s="10"/>
      <c r="O219" s="10"/>
      <c r="P219" s="10"/>
      <c r="Q219" s="10"/>
      <c r="R219" s="10"/>
    </row>
    <row r="220" spans="1:18" x14ac:dyDescent="0.3">
      <c r="A220" s="10"/>
      <c r="B220" s="10"/>
      <c r="C220" s="10"/>
      <c r="D220" s="10"/>
      <c r="E220" s="10"/>
      <c r="F220" s="10"/>
      <c r="G220" s="10"/>
      <c r="H220" s="10"/>
      <c r="I220" s="10"/>
      <c r="J220" s="10"/>
      <c r="K220" s="10"/>
      <c r="L220" s="10"/>
      <c r="M220" s="10"/>
      <c r="N220" s="10"/>
      <c r="O220" s="10"/>
      <c r="P220" s="10"/>
      <c r="Q220" s="10"/>
      <c r="R220" s="10"/>
    </row>
    <row r="221" spans="1:18" x14ac:dyDescent="0.3">
      <c r="A221" s="10"/>
      <c r="B221" s="10"/>
      <c r="C221" s="10"/>
      <c r="D221" s="10"/>
      <c r="E221" s="10"/>
      <c r="F221" s="10"/>
      <c r="G221" s="10"/>
      <c r="H221" s="10"/>
      <c r="I221" s="10"/>
      <c r="J221" s="10"/>
      <c r="K221" s="10"/>
      <c r="L221" s="10"/>
      <c r="M221" s="10"/>
      <c r="N221" s="10"/>
      <c r="O221" s="10"/>
      <c r="P221" s="10"/>
      <c r="Q221" s="10"/>
      <c r="R221" s="10"/>
    </row>
    <row r="222" spans="1:18" x14ac:dyDescent="0.3">
      <c r="A222" s="10"/>
      <c r="B222" s="10"/>
      <c r="C222" s="10"/>
      <c r="D222" s="10"/>
      <c r="E222" s="10"/>
      <c r="F222" s="10"/>
      <c r="G222" s="10"/>
      <c r="H222" s="10"/>
      <c r="I222" s="10"/>
      <c r="J222" s="10"/>
      <c r="K222" s="10"/>
      <c r="L222" s="10"/>
      <c r="M222" s="10"/>
      <c r="N222" s="10"/>
      <c r="O222" s="10"/>
      <c r="P222" s="10"/>
      <c r="Q222" s="10"/>
      <c r="R222" s="10"/>
    </row>
    <row r="223" spans="1:18" x14ac:dyDescent="0.3">
      <c r="K223" s="10"/>
      <c r="L223" s="10"/>
      <c r="M223" s="10"/>
      <c r="N223" s="10"/>
      <c r="O223" s="10"/>
      <c r="P223" s="10"/>
      <c r="Q223" s="10"/>
      <c r="R223" s="10"/>
    </row>
  </sheetData>
  <conditionalFormatting sqref="A132:L132">
    <cfRule type="colorScale" priority="40">
      <colorScale>
        <cfvo type="min"/>
        <cfvo type="max"/>
        <color theme="6" tint="0.79998168889431442"/>
        <color theme="5" tint="0.39997558519241921"/>
      </colorScale>
    </cfRule>
  </conditionalFormatting>
  <conditionalFormatting sqref="A136:L136">
    <cfRule type="colorScale" priority="39">
      <colorScale>
        <cfvo type="min"/>
        <cfvo type="max"/>
        <color theme="6" tint="0.79998168889431442"/>
        <color theme="5" tint="0.39997558519241921"/>
      </colorScale>
    </cfRule>
  </conditionalFormatting>
  <conditionalFormatting sqref="C150:O150">
    <cfRule type="colorScale" priority="37">
      <colorScale>
        <cfvo type="min"/>
        <cfvo type="max"/>
        <color theme="6" tint="0.79998168889431442"/>
        <color theme="5" tint="0.39997558519241921"/>
      </colorScale>
    </cfRule>
  </conditionalFormatting>
  <conditionalFormatting sqref="D160:H160">
    <cfRule type="colorScale" priority="36">
      <colorScale>
        <cfvo type="min"/>
        <cfvo type="max"/>
        <color theme="6" tint="0.79998168889431442"/>
        <color theme="5" tint="0.39997558519241921"/>
      </colorScale>
    </cfRule>
  </conditionalFormatting>
  <conditionalFormatting sqref="A167:M167">
    <cfRule type="colorScale" priority="35">
      <colorScale>
        <cfvo type="min"/>
        <cfvo type="max"/>
        <color theme="6" tint="0.79998168889431442"/>
        <color theme="5" tint="0.39997558519241921"/>
      </colorScale>
    </cfRule>
  </conditionalFormatting>
  <conditionalFormatting sqref="B53:H53 A60:F60 D61:F61">
    <cfRule type="colorScale" priority="34">
      <colorScale>
        <cfvo type="min"/>
        <cfvo type="max"/>
        <color theme="6" tint="0.79998168889431442"/>
        <color theme="5" tint="0.39997558519241921"/>
      </colorScale>
    </cfRule>
  </conditionalFormatting>
  <conditionalFormatting sqref="B68:C68">
    <cfRule type="colorScale" priority="32">
      <colorScale>
        <cfvo type="min"/>
        <cfvo type="max"/>
        <color theme="6" tint="0.79998168889431442"/>
        <color theme="5" tint="0.39997558519241921"/>
      </colorScale>
    </cfRule>
  </conditionalFormatting>
  <conditionalFormatting sqref="C78:J78">
    <cfRule type="colorScale" priority="31">
      <colorScale>
        <cfvo type="min"/>
        <cfvo type="max"/>
        <color theme="6" tint="0.79998168889431442"/>
        <color theme="5" tint="0.39997558519241921"/>
      </colorScale>
    </cfRule>
  </conditionalFormatting>
  <conditionalFormatting sqref="B38:L38">
    <cfRule type="colorScale" priority="30">
      <colorScale>
        <cfvo type="min"/>
        <cfvo type="max"/>
        <color theme="6" tint="0.79998168889431442"/>
        <color theme="5" tint="0.39997558519241921"/>
      </colorScale>
    </cfRule>
  </conditionalFormatting>
  <conditionalFormatting sqref="B13:C13">
    <cfRule type="colorScale" priority="29">
      <colorScale>
        <cfvo type="min"/>
        <cfvo type="max"/>
        <color theme="6" tint="0.79998168889431442"/>
        <color theme="5" tint="0.39997558519241921"/>
      </colorScale>
    </cfRule>
  </conditionalFormatting>
  <conditionalFormatting sqref="B7:G7">
    <cfRule type="colorScale" priority="28">
      <colorScale>
        <cfvo type="min"/>
        <cfvo type="max"/>
        <color theme="6" tint="0.79998168889431442"/>
        <color theme="5" tint="0.39997558519241921"/>
      </colorScale>
    </cfRule>
  </conditionalFormatting>
  <conditionalFormatting sqref="B90:D90">
    <cfRule type="colorScale" priority="27">
      <colorScale>
        <cfvo type="min"/>
        <cfvo type="max"/>
        <color theme="6" tint="0.79998168889431442"/>
        <color theme="5" tint="0.39997558519241921"/>
      </colorScale>
    </cfRule>
  </conditionalFormatting>
  <conditionalFormatting sqref="D13">
    <cfRule type="colorScale" priority="26">
      <colorScale>
        <cfvo type="min"/>
        <cfvo type="max"/>
        <color theme="6" tint="0.79998168889431442"/>
        <color theme="5" tint="0.39997558519241921"/>
      </colorScale>
    </cfRule>
  </conditionalFormatting>
  <conditionalFormatting sqref="D18:F18">
    <cfRule type="colorScale" priority="25">
      <colorScale>
        <cfvo type="min"/>
        <cfvo type="max"/>
        <color theme="6" tint="0.79998168889431442"/>
        <color theme="5" tint="0.39997558519241921"/>
      </colorScale>
    </cfRule>
  </conditionalFormatting>
  <conditionalFormatting sqref="B58:F58">
    <cfRule type="colorScale" priority="24">
      <colorScale>
        <cfvo type="min"/>
        <cfvo type="max"/>
        <color theme="6" tint="0.79998168889431442"/>
        <color theme="5" tint="0.39997558519241921"/>
      </colorScale>
    </cfRule>
  </conditionalFormatting>
  <conditionalFormatting sqref="A44:A45">
    <cfRule type="duplicateValues" dxfId="19" priority="21"/>
  </conditionalFormatting>
  <conditionalFormatting sqref="A52:A53">
    <cfRule type="duplicateValues" dxfId="18"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17"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E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5">
      <colorScale>
        <cfvo type="min"/>
        <cfvo type="max"/>
        <color theme="6" tint="0.79998168889431442"/>
        <color theme="5" tint="0.39997558519241921"/>
      </colorScale>
    </cfRule>
  </conditionalFormatting>
  <conditionalFormatting sqref="D33:H33">
    <cfRule type="colorScale" priority="4">
      <colorScale>
        <cfvo type="min"/>
        <cfvo type="max"/>
        <color theme="6" tint="0.79998168889431442"/>
        <color theme="5" tint="0.39997558519241921"/>
      </colorScale>
    </cfRule>
  </conditionalFormatting>
  <conditionalFormatting sqref="H7">
    <cfRule type="colorScale" priority="3">
      <colorScale>
        <cfvo type="min"/>
        <cfvo type="max"/>
        <color theme="6" tint="0.79998168889431442"/>
        <color theme="5" tint="0.39997558519241921"/>
      </colorScale>
    </cfRule>
  </conditionalFormatting>
  <conditionalFormatting sqref="B63:H63">
    <cfRule type="colorScale" priority="2">
      <colorScale>
        <cfvo type="min"/>
        <cfvo type="max"/>
        <color theme="6" tint="0.79998168889431442"/>
        <color theme="5" tint="0.39997558519241921"/>
      </colorScale>
    </cfRule>
  </conditionalFormatting>
  <conditionalFormatting sqref="B127:F12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262"/>
  <sheetViews>
    <sheetView zoomScale="90" zoomScaleNormal="90" workbookViewId="0">
      <selection activeCell="F17" sqref="F17"/>
    </sheetView>
  </sheetViews>
  <sheetFormatPr defaultColWidth="8.81640625" defaultRowHeight="14" x14ac:dyDescent="0.3"/>
  <cols>
    <col min="1" max="1" width="22.81640625" style="1" customWidth="1"/>
    <col min="2" max="2" width="14.1796875" style="1" customWidth="1"/>
    <col min="3" max="3" width="17.1796875" style="1" customWidth="1"/>
    <col min="4" max="4" width="16.36328125" style="1" customWidth="1"/>
    <col min="5" max="5" width="13.81640625" style="1" customWidth="1"/>
    <col min="6" max="6" width="14.8164062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2791</v>
      </c>
      <c r="B3" s="21">
        <f>COUNTIFS('ALINDAO_Cleaned Data'!N:N,"hygiene",'ALINDAO_Cleaned Data'!K:K,"alindao")</f>
        <v>3</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ht="15.5" x14ac:dyDescent="0.35">
      <c r="A5" s="29" t="s">
        <v>2762</v>
      </c>
      <c r="B5" s="10"/>
      <c r="C5" s="10"/>
      <c r="D5" s="10"/>
      <c r="E5" s="10"/>
      <c r="F5" s="10"/>
      <c r="G5" s="10"/>
      <c r="H5" s="10"/>
      <c r="I5" s="10"/>
      <c r="J5" s="10"/>
      <c r="K5" s="10"/>
      <c r="L5" s="10"/>
      <c r="M5" s="10"/>
      <c r="N5" s="10"/>
      <c r="O5" s="10"/>
      <c r="P5" s="10"/>
      <c r="Q5" s="10"/>
      <c r="R5" s="10"/>
    </row>
    <row r="6" spans="1:26" ht="42" customHeight="1" x14ac:dyDescent="0.3">
      <c r="A6" s="3"/>
      <c r="B6" s="8" t="s">
        <v>2763</v>
      </c>
      <c r="C6" s="8" t="s">
        <v>2764</v>
      </c>
      <c r="D6" s="8" t="s">
        <v>2765</v>
      </c>
      <c r="E6" s="8" t="s">
        <v>1905</v>
      </c>
      <c r="F6" s="8" t="s">
        <v>1205</v>
      </c>
      <c r="G6" s="5" t="s">
        <v>1206</v>
      </c>
      <c r="H6" s="10"/>
      <c r="I6" s="10"/>
      <c r="J6" s="10"/>
      <c r="K6" s="10"/>
      <c r="L6" s="10"/>
      <c r="M6" s="10"/>
      <c r="N6" s="10"/>
      <c r="O6" s="10"/>
      <c r="P6" s="10"/>
      <c r="Q6" s="10"/>
      <c r="R6" s="10"/>
      <c r="Z6" s="1"/>
    </row>
    <row r="7" spans="1:26" x14ac:dyDescent="0.3">
      <c r="A7" s="3" t="s">
        <v>1207</v>
      </c>
      <c r="B7" s="24">
        <f>COUNTIF('ALINDAO_Cleaned Data'!GZ:GZ,"latrines_communautaires")</f>
        <v>3</v>
      </c>
      <c r="C7" s="24">
        <f>COUNTIF('ALINDAO_Cleaned Data'!GZ:GZ,"latrines_institutionnelles")</f>
        <v>0</v>
      </c>
      <c r="D7" s="24">
        <f>COUNTIF('ALINDAO_Cleaned Data'!GZ:GZ,"latrines_privees")</f>
        <v>0</v>
      </c>
      <c r="E7" s="24">
        <f>COUNTIF('ALINDAO_Cleaned Data'!GZ:GZ,"nsp")</f>
        <v>0</v>
      </c>
      <c r="F7" s="24">
        <f>COUNTIF('ALINDAO_Cleaned Data'!GZ:GZ,"autre")</f>
        <v>0</v>
      </c>
      <c r="G7" s="88">
        <f>SUM(B7:F7)</f>
        <v>3</v>
      </c>
      <c r="H7" s="10"/>
      <c r="I7" s="10"/>
      <c r="J7" s="10"/>
      <c r="K7" s="10"/>
      <c r="L7" s="10"/>
      <c r="M7" s="10"/>
      <c r="N7" s="10"/>
      <c r="O7" s="10"/>
      <c r="P7" s="10"/>
      <c r="Q7" s="10"/>
      <c r="R7" s="10"/>
      <c r="Z7" s="1"/>
    </row>
    <row r="8" spans="1:26" x14ac:dyDescent="0.3">
      <c r="A8" s="3" t="s">
        <v>1208</v>
      </c>
      <c r="B8" s="7">
        <f>(B7/$B$3)</f>
        <v>1</v>
      </c>
      <c r="C8" s="7">
        <f t="shared" ref="C8:F8" si="0">(C7/$B$3)</f>
        <v>0</v>
      </c>
      <c r="D8" s="7">
        <f t="shared" si="0"/>
        <v>0</v>
      </c>
      <c r="E8" s="7">
        <f t="shared" si="0"/>
        <v>0</v>
      </c>
      <c r="F8" s="7">
        <f t="shared" si="0"/>
        <v>0</v>
      </c>
      <c r="G8" s="113">
        <f>SUM(B8:F8)</f>
        <v>1</v>
      </c>
      <c r="H8" s="10"/>
      <c r="I8" s="10"/>
      <c r="J8" s="10"/>
      <c r="K8" s="10"/>
      <c r="L8" s="10"/>
      <c r="M8" s="10"/>
      <c r="N8" s="10"/>
      <c r="O8" s="10"/>
      <c r="P8" s="10"/>
      <c r="Q8" s="10"/>
      <c r="R8" s="10"/>
      <c r="Z8" s="1"/>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2776</v>
      </c>
      <c r="B11" s="16"/>
      <c r="C11" s="16"/>
      <c r="D11" s="16"/>
      <c r="E11" s="16"/>
      <c r="F11" s="16"/>
      <c r="G11" s="14"/>
      <c r="H11" s="10"/>
      <c r="I11" s="10"/>
      <c r="J11" s="10"/>
      <c r="K11" s="10"/>
      <c r="L11" s="10"/>
      <c r="M11" s="10"/>
      <c r="N11" s="10"/>
      <c r="O11" s="10"/>
      <c r="P11" s="10"/>
      <c r="Q11" s="10"/>
      <c r="R11" s="10"/>
    </row>
    <row r="12" spans="1:26" ht="28" x14ac:dyDescent="0.3">
      <c r="A12" s="3"/>
      <c r="B12" s="8" t="s">
        <v>2777</v>
      </c>
      <c r="C12" s="8" t="s">
        <v>2778</v>
      </c>
      <c r="D12" s="8" t="s">
        <v>2779</v>
      </c>
      <c r="E12" s="8" t="s">
        <v>1220</v>
      </c>
      <c r="F12" s="114" t="s">
        <v>1206</v>
      </c>
      <c r="G12" s="14"/>
      <c r="H12" s="10"/>
      <c r="I12" s="10"/>
      <c r="J12" s="10"/>
      <c r="K12" s="10"/>
      <c r="L12" s="10"/>
      <c r="M12" s="10"/>
      <c r="N12" s="10"/>
      <c r="O12" s="10"/>
      <c r="P12" s="10"/>
      <c r="Q12" s="10"/>
      <c r="R12" s="10"/>
    </row>
    <row r="13" spans="1:26" x14ac:dyDescent="0.3">
      <c r="A13" s="3" t="s">
        <v>1207</v>
      </c>
      <c r="B13" s="24">
        <f>COUNTIF('ALINDAO_Cleaned Data'!HB:HB,"latrines_dur_porte")</f>
        <v>3</v>
      </c>
      <c r="C13" s="24">
        <f>COUNTIF('ALINDAO_Cleaned Data'!HB:HB,"latrines_dur")</f>
        <v>0</v>
      </c>
      <c r="D13" s="24">
        <f>COUNTIF('ALINDAO_Cleaned Data'!HB:HB,"latrines_tissu")</f>
        <v>0</v>
      </c>
      <c r="E13" s="24">
        <f>COUNTIF('ALINDAO_Cleaned Data'!HB:HB,"autre")</f>
        <v>0</v>
      </c>
      <c r="F13" s="115">
        <f>SUM(B13:E13)</f>
        <v>3</v>
      </c>
      <c r="G13" s="14"/>
      <c r="H13" s="10"/>
      <c r="I13" s="10"/>
      <c r="J13" s="10"/>
      <c r="K13" s="10"/>
      <c r="L13" s="10"/>
      <c r="M13" s="10"/>
      <c r="N13" s="10"/>
      <c r="O13" s="10"/>
      <c r="P13" s="10"/>
      <c r="Q13" s="10"/>
      <c r="R13" s="10"/>
    </row>
    <row r="14" spans="1:26" ht="26" x14ac:dyDescent="0.3">
      <c r="A14" s="53" t="s">
        <v>3257</v>
      </c>
      <c r="B14" s="7">
        <f>(B13/$B$3)</f>
        <v>1</v>
      </c>
      <c r="C14" s="7">
        <f t="shared" ref="C14:E14" si="1">(C13/$B$3)</f>
        <v>0</v>
      </c>
      <c r="D14" s="7">
        <f t="shared" si="1"/>
        <v>0</v>
      </c>
      <c r="E14" s="7">
        <f t="shared" si="1"/>
        <v>0</v>
      </c>
      <c r="F14" s="116">
        <f>SUM(B14:E14)</f>
        <v>1</v>
      </c>
      <c r="G14" s="14"/>
      <c r="H14" s="10"/>
      <c r="I14" s="10"/>
      <c r="J14" s="10"/>
      <c r="K14" s="10"/>
      <c r="L14" s="10"/>
      <c r="M14" s="10"/>
      <c r="N14" s="10"/>
      <c r="O14" s="10"/>
      <c r="P14" s="10"/>
      <c r="Q14" s="10"/>
      <c r="R14" s="10"/>
    </row>
    <row r="15" spans="1:26" ht="15.5" x14ac:dyDescent="0.35">
      <c r="A15" s="9"/>
      <c r="B15" s="16"/>
      <c r="C15" s="16"/>
      <c r="D15" s="16"/>
      <c r="E15" s="16"/>
      <c r="F15" s="16"/>
      <c r="G15" s="14"/>
      <c r="H15" s="10"/>
      <c r="I15" s="10"/>
      <c r="J15" s="10"/>
      <c r="K15" s="10"/>
      <c r="L15" s="10"/>
      <c r="M15" s="10"/>
      <c r="N15" s="10"/>
      <c r="O15" s="10"/>
      <c r="P15" s="10"/>
      <c r="Q15" s="10"/>
      <c r="R15" s="10"/>
    </row>
    <row r="16" spans="1:26" ht="15.5" x14ac:dyDescent="0.35">
      <c r="A16" s="29" t="s">
        <v>2766</v>
      </c>
      <c r="B16" s="10"/>
      <c r="C16" s="10"/>
      <c r="D16" s="10"/>
      <c r="E16" s="10"/>
      <c r="F16" s="10"/>
      <c r="G16" s="10"/>
      <c r="H16" s="10"/>
      <c r="I16" s="10"/>
      <c r="J16" s="10"/>
      <c r="K16" s="10"/>
      <c r="L16" s="10"/>
      <c r="M16" s="10"/>
      <c r="N16" s="10"/>
      <c r="O16" s="10"/>
      <c r="P16" s="10"/>
      <c r="Q16" s="10"/>
      <c r="R16" s="10"/>
    </row>
    <row r="17" spans="1:26" ht="42" x14ac:dyDescent="0.3">
      <c r="A17" s="3"/>
      <c r="B17" s="8" t="s">
        <v>1210</v>
      </c>
      <c r="C17" s="8" t="s">
        <v>2767</v>
      </c>
      <c r="D17" s="8" t="s">
        <v>2768</v>
      </c>
      <c r="E17" s="51" t="s">
        <v>2769</v>
      </c>
      <c r="F17" s="10"/>
      <c r="G17" s="10"/>
      <c r="H17" s="10"/>
      <c r="I17" s="10"/>
      <c r="J17" s="10"/>
      <c r="K17" s="10"/>
      <c r="L17" s="10"/>
      <c r="M17" s="10"/>
      <c r="N17" s="10"/>
      <c r="O17" s="10"/>
      <c r="P17" s="10"/>
      <c r="Q17" s="10"/>
      <c r="R17" s="10"/>
    </row>
    <row r="18" spans="1:26" x14ac:dyDescent="0.3">
      <c r="A18" s="3" t="s">
        <v>1207</v>
      </c>
      <c r="B18" s="24">
        <f>COUNTIF('ALINDAO_Cleaned Data'!HE:HE,"oui")</f>
        <v>3</v>
      </c>
      <c r="C18" s="24">
        <f>COUNTIF('ALINDAO_Cleaned Data'!HE:HE,"non")</f>
        <v>0</v>
      </c>
      <c r="D18" s="24">
        <f>COUNTIF('ALINDAO_Cleaned Data'!HE:HE,"endommagees")</f>
        <v>0</v>
      </c>
      <c r="E18" s="52">
        <f>SUM(B18,D18)</f>
        <v>3</v>
      </c>
      <c r="F18" s="10"/>
      <c r="G18" s="10"/>
      <c r="H18" s="10"/>
      <c r="I18" s="10"/>
      <c r="J18" s="10"/>
      <c r="K18" s="10"/>
      <c r="L18" s="10"/>
      <c r="M18" s="10"/>
      <c r="N18" s="10"/>
      <c r="O18" s="10"/>
      <c r="P18" s="10"/>
      <c r="Q18" s="10"/>
      <c r="R18" s="10"/>
    </row>
    <row r="19" spans="1:26" s="96" customFormat="1" ht="26" x14ac:dyDescent="0.3">
      <c r="A19" s="53" t="s">
        <v>3257</v>
      </c>
      <c r="B19" s="94">
        <f>(B18/$E$18)</f>
        <v>1</v>
      </c>
      <c r="C19" s="94">
        <f>(C18/$E$18)</f>
        <v>0</v>
      </c>
      <c r="D19" s="94">
        <f>(D18/$E$18)</f>
        <v>0</v>
      </c>
      <c r="E19" s="102">
        <f>E18/B3</f>
        <v>1</v>
      </c>
      <c r="F19" s="95"/>
      <c r="G19" s="95"/>
      <c r="H19" s="95"/>
      <c r="I19" s="95"/>
      <c r="J19" s="95"/>
      <c r="K19" s="95"/>
      <c r="L19" s="95"/>
      <c r="M19" s="95"/>
      <c r="N19" s="95"/>
      <c r="O19" s="95"/>
      <c r="P19" s="95"/>
      <c r="Q19" s="95"/>
      <c r="R19" s="95"/>
      <c r="S19" s="95"/>
      <c r="T19" s="95"/>
      <c r="U19" s="95"/>
      <c r="V19" s="95"/>
      <c r="W19" s="95"/>
      <c r="X19" s="95"/>
      <c r="Y19" s="95"/>
      <c r="Z19" s="95"/>
    </row>
    <row r="20" spans="1:26" s="10" customFormat="1" x14ac:dyDescent="0.3">
      <c r="A20" s="14"/>
      <c r="B20" s="15"/>
      <c r="C20" s="15"/>
      <c r="D20" s="15"/>
      <c r="E20" s="15"/>
    </row>
    <row r="21" spans="1:26" s="10" customFormat="1" x14ac:dyDescent="0.3">
      <c r="A21" s="14"/>
      <c r="B21" s="16"/>
      <c r="C21" s="17" t="s">
        <v>2770</v>
      </c>
      <c r="D21" s="14"/>
    </row>
    <row r="22" spans="1:26" ht="42" x14ac:dyDescent="0.3">
      <c r="A22" s="10"/>
      <c r="B22" s="10"/>
      <c r="C22" s="3"/>
      <c r="D22" s="12" t="s">
        <v>2771</v>
      </c>
      <c r="E22" s="12" t="s">
        <v>2774</v>
      </c>
      <c r="F22" s="12" t="s">
        <v>2772</v>
      </c>
      <c r="G22" s="12" t="s">
        <v>2773</v>
      </c>
      <c r="H22" s="114" t="s">
        <v>1206</v>
      </c>
      <c r="I22" s="10"/>
      <c r="J22" s="10"/>
      <c r="K22" s="10"/>
      <c r="L22" s="10"/>
      <c r="M22" s="10"/>
      <c r="N22" s="10"/>
      <c r="O22" s="10"/>
      <c r="P22" s="10"/>
      <c r="Q22" s="10"/>
      <c r="R22" s="10"/>
    </row>
    <row r="23" spans="1:26" x14ac:dyDescent="0.3">
      <c r="A23" s="10"/>
      <c r="B23" s="10"/>
      <c r="C23" s="3" t="s">
        <v>1207</v>
      </c>
      <c r="D23" s="24">
        <f>COUNTIF('ALINDAO_Cleaned Data'!HF:HF,"maintenance")</f>
        <v>0</v>
      </c>
      <c r="E23" s="24">
        <f>COUNTIF('ALINDAO_Cleaned Data'!HF:HF,"non_hygienique")</f>
        <v>0</v>
      </c>
      <c r="F23" s="24">
        <f>COUNTIF('ALINDAO_Cleaned Data'!HF:HF,"rehab")</f>
        <v>0</v>
      </c>
      <c r="G23" s="24">
        <f>COUNTIF('ALINDAO_Cleaned Data'!HF:HF,"reconstruction")</f>
        <v>0</v>
      </c>
      <c r="H23" s="115">
        <f>SUM(D23:G23)</f>
        <v>0</v>
      </c>
      <c r="I23" s="10"/>
      <c r="J23" s="10"/>
      <c r="K23" s="10"/>
      <c r="L23" s="10"/>
      <c r="M23" s="10"/>
      <c r="N23" s="10"/>
      <c r="O23" s="10"/>
      <c r="P23" s="10"/>
      <c r="Q23" s="10"/>
      <c r="R23" s="10"/>
    </row>
    <row r="24" spans="1:26" ht="37.5" x14ac:dyDescent="0.3">
      <c r="A24" s="10"/>
      <c r="B24" s="10"/>
      <c r="C24" s="53" t="s">
        <v>3258</v>
      </c>
      <c r="D24" s="7" t="e">
        <f>D23/$D$18</f>
        <v>#DIV/0!</v>
      </c>
      <c r="E24" s="7" t="e">
        <f>E23/$D$18</f>
        <v>#DIV/0!</v>
      </c>
      <c r="F24" s="7" t="e">
        <f>F23/$D$18</f>
        <v>#DIV/0!</v>
      </c>
      <c r="G24" s="7" t="e">
        <f>G23/$D$18</f>
        <v>#DIV/0!</v>
      </c>
      <c r="H24" s="116" t="e">
        <f>SUM(D24:G24)</f>
        <v>#DIV/0!</v>
      </c>
      <c r="I24" s="10"/>
      <c r="J24" s="10"/>
      <c r="K24" s="10"/>
      <c r="L24" s="10"/>
      <c r="M24" s="10"/>
      <c r="N24" s="10"/>
      <c r="O24" s="10"/>
      <c r="P24" s="10"/>
      <c r="Q24" s="10"/>
      <c r="R24" s="10"/>
    </row>
    <row r="25" spans="1:26" s="10" customFormat="1" x14ac:dyDescent="0.3">
      <c r="E25" s="117"/>
      <c r="F25" s="49"/>
      <c r="G25" s="117"/>
      <c r="H25" s="117"/>
    </row>
    <row r="26" spans="1:26" x14ac:dyDescent="0.3">
      <c r="A26" s="10"/>
      <c r="B26" s="10"/>
      <c r="C26" s="17" t="s">
        <v>2775</v>
      </c>
      <c r="D26" s="14"/>
      <c r="E26" s="10"/>
      <c r="F26" s="10"/>
      <c r="G26" s="10"/>
      <c r="H26" s="10"/>
      <c r="I26" s="10"/>
      <c r="J26" s="10"/>
      <c r="K26" s="10"/>
      <c r="L26" s="10"/>
      <c r="M26" s="10"/>
      <c r="N26" s="10"/>
      <c r="O26" s="10"/>
      <c r="P26" s="10"/>
      <c r="Q26" s="10"/>
      <c r="R26" s="10"/>
    </row>
    <row r="27" spans="1:26" ht="28" x14ac:dyDescent="0.3">
      <c r="A27" s="10"/>
      <c r="B27" s="10"/>
      <c r="C27" s="3"/>
      <c r="D27" s="12" t="s">
        <v>1861</v>
      </c>
      <c r="E27" s="12" t="s">
        <v>1862</v>
      </c>
      <c r="F27" s="12" t="s">
        <v>1863</v>
      </c>
      <c r="G27" s="12" t="s">
        <v>1864</v>
      </c>
      <c r="H27" s="12" t="s">
        <v>1905</v>
      </c>
      <c r="I27" s="114" t="s">
        <v>1206</v>
      </c>
      <c r="J27" s="10"/>
      <c r="K27" s="10"/>
      <c r="L27" s="10"/>
      <c r="M27" s="10"/>
      <c r="N27" s="10"/>
      <c r="O27" s="10"/>
      <c r="P27" s="10"/>
      <c r="Q27" s="10"/>
      <c r="R27" s="10"/>
    </row>
    <row r="28" spans="1:26" x14ac:dyDescent="0.3">
      <c r="A28" s="10"/>
      <c r="B28" s="10"/>
      <c r="C28" s="3" t="s">
        <v>1207</v>
      </c>
      <c r="D28" s="24">
        <f>COUNTIF('ALINDAO_Cleaned Data'!HG:HG,"moins_six_mois")</f>
        <v>0</v>
      </c>
      <c r="E28" s="24">
        <f>COUNTIF('ALINDAO_Cleaned Data'!HG:HG,"six_mois_un_an ")</f>
        <v>0</v>
      </c>
      <c r="F28" s="24">
        <f>COUNTIF('ALINDAO_Cleaned Data'!HG:HG,"un_an_trois_ans")</f>
        <v>0</v>
      </c>
      <c r="G28" s="24">
        <f>COUNTIF('ALINDAO_Cleaned Data'!HG:HG,"plus_trois_ans")</f>
        <v>0</v>
      </c>
      <c r="H28" s="24">
        <f>COUNTIF('ALINDAO_Cleaned Data'!HG:HG,"nsp")</f>
        <v>0</v>
      </c>
      <c r="I28" s="115">
        <f>SUM(D28:H28)</f>
        <v>0</v>
      </c>
      <c r="J28" s="10"/>
      <c r="K28" s="10"/>
      <c r="L28" s="10"/>
      <c r="M28" s="10"/>
      <c r="N28" s="10"/>
      <c r="O28" s="10"/>
      <c r="P28" s="10"/>
      <c r="Q28" s="10"/>
      <c r="R28" s="10"/>
    </row>
    <row r="29" spans="1:26" ht="37.5" customHeight="1" x14ac:dyDescent="0.3">
      <c r="A29" s="10"/>
      <c r="B29" s="10"/>
      <c r="C29" s="53" t="s">
        <v>3258</v>
      </c>
      <c r="D29" s="7" t="e">
        <f>D28/$D$18</f>
        <v>#DIV/0!</v>
      </c>
      <c r="E29" s="7" t="e">
        <f>E28/$D$18</f>
        <v>#DIV/0!</v>
      </c>
      <c r="F29" s="7" t="e">
        <f>F28/$D$18</f>
        <v>#DIV/0!</v>
      </c>
      <c r="G29" s="7" t="e">
        <f t="shared" ref="G29:H29" si="2">G28/$D$18</f>
        <v>#DIV/0!</v>
      </c>
      <c r="H29" s="7" t="e">
        <f t="shared" si="2"/>
        <v>#DIV/0!</v>
      </c>
      <c r="I29" s="116" t="e">
        <f>SUM(D29:H29)</f>
        <v>#DIV/0!</v>
      </c>
      <c r="J29" s="10"/>
      <c r="K29" s="10"/>
      <c r="L29" s="10"/>
      <c r="M29" s="10"/>
      <c r="N29" s="10"/>
      <c r="O29" s="10"/>
      <c r="P29" s="10"/>
      <c r="Q29" s="10"/>
      <c r="R29" s="10"/>
    </row>
    <row r="30" spans="1:26" s="10" customFormat="1" x14ac:dyDescent="0.3">
      <c r="D30" s="49"/>
      <c r="E30" s="49"/>
      <c r="F30" s="49"/>
      <c r="G30" s="49"/>
      <c r="H30" s="49"/>
    </row>
    <row r="31" spans="1:26" s="10" customFormat="1" x14ac:dyDescent="0.3">
      <c r="C31" s="17" t="s">
        <v>1952</v>
      </c>
      <c r="E31" s="103" t="s">
        <v>3245</v>
      </c>
    </row>
    <row r="32" spans="1:26" ht="42" x14ac:dyDescent="0.3">
      <c r="A32" s="10"/>
      <c r="B32" s="10"/>
      <c r="C32" s="3"/>
      <c r="D32" s="6" t="s">
        <v>2781</v>
      </c>
      <c r="E32" s="6" t="s">
        <v>2782</v>
      </c>
      <c r="F32" s="6" t="s">
        <v>2783</v>
      </c>
      <c r="G32" s="6" t="s">
        <v>2784</v>
      </c>
      <c r="H32" s="6" t="s">
        <v>2785</v>
      </c>
      <c r="I32" s="6" t="s">
        <v>1905</v>
      </c>
      <c r="J32" s="6" t="s">
        <v>1205</v>
      </c>
      <c r="K32" s="10"/>
      <c r="L32" s="10"/>
      <c r="M32" s="10"/>
      <c r="N32" s="10"/>
      <c r="O32" s="10"/>
      <c r="P32" s="10"/>
      <c r="Q32" s="10"/>
      <c r="R32" s="10"/>
      <c r="X32" s="1"/>
      <c r="Y32" s="1"/>
      <c r="Z32" s="1"/>
    </row>
    <row r="33" spans="1:26" x14ac:dyDescent="0.3">
      <c r="A33" s="10"/>
      <c r="B33" s="10"/>
      <c r="C33" s="3" t="s">
        <v>1207</v>
      </c>
      <c r="D33" s="24">
        <f>COUNTIF('ALINDAO_Cleaned Data'!HI:HI,"1")</f>
        <v>0</v>
      </c>
      <c r="E33" s="24">
        <f>COUNTIF('ALINDAO_Cleaned Data'!HJ:HJ,"1")</f>
        <v>0</v>
      </c>
      <c r="F33" s="24">
        <f>COUNTIF('ALINDAO_Cleaned Data'!HK:HK,"1")</f>
        <v>0</v>
      </c>
      <c r="G33" s="24">
        <f>COUNTIF('ALINDAO_Cleaned Data'!HL:HL,"1")</f>
        <v>0</v>
      </c>
      <c r="H33" s="24">
        <f>COUNTIF('ALINDAO_Cleaned Data'!HM:HM,"1")</f>
        <v>0</v>
      </c>
      <c r="I33" s="24">
        <f>COUNTIF('ALINDAO_Cleaned Data'!HN:HN,"1")</f>
        <v>0</v>
      </c>
      <c r="J33" s="24">
        <f>COUNTIF('ALINDAO_Cleaned Data'!HO:HO,"1")</f>
        <v>0</v>
      </c>
      <c r="K33" s="10"/>
      <c r="L33" s="10"/>
      <c r="M33" s="10"/>
      <c r="N33" s="10"/>
      <c r="O33" s="10"/>
      <c r="P33" s="10"/>
      <c r="Q33" s="10"/>
      <c r="R33" s="10"/>
      <c r="X33" s="1"/>
      <c r="Y33" s="1"/>
      <c r="Z33" s="1"/>
    </row>
    <row r="34" spans="1:26" ht="37.5" x14ac:dyDescent="0.3">
      <c r="A34" s="10"/>
      <c r="B34" s="10"/>
      <c r="C34" s="53" t="s">
        <v>3260</v>
      </c>
      <c r="D34" s="7" t="e">
        <f>D33/$C$18</f>
        <v>#DIV/0!</v>
      </c>
      <c r="E34" s="7" t="e">
        <f t="shared" ref="E34:J34" si="3">E33/$C$18</f>
        <v>#DIV/0!</v>
      </c>
      <c r="F34" s="7" t="e">
        <f t="shared" si="3"/>
        <v>#DIV/0!</v>
      </c>
      <c r="G34" s="7" t="e">
        <f t="shared" si="3"/>
        <v>#DIV/0!</v>
      </c>
      <c r="H34" s="7" t="e">
        <f t="shared" si="3"/>
        <v>#DIV/0!</v>
      </c>
      <c r="I34" s="7" t="e">
        <f t="shared" si="3"/>
        <v>#DIV/0!</v>
      </c>
      <c r="J34" s="7" t="e">
        <f t="shared" si="3"/>
        <v>#DIV/0!</v>
      </c>
      <c r="K34" s="10"/>
      <c r="L34" s="10"/>
      <c r="M34" s="10"/>
      <c r="N34" s="10"/>
      <c r="O34" s="10"/>
      <c r="P34" s="10"/>
      <c r="Q34" s="10"/>
      <c r="R34" s="10"/>
      <c r="X34" s="1"/>
      <c r="Y34" s="1"/>
      <c r="Z34" s="1"/>
    </row>
    <row r="35" spans="1:26" s="10" customFormat="1" x14ac:dyDescent="0.3">
      <c r="A35" s="14"/>
      <c r="B35" s="15"/>
      <c r="C35" s="15"/>
      <c r="D35" s="15"/>
      <c r="E35" s="15"/>
    </row>
    <row r="36" spans="1:26" x14ac:dyDescent="0.3">
      <c r="A36" s="10"/>
      <c r="B36" s="10"/>
      <c r="C36" s="17" t="s">
        <v>1951</v>
      </c>
      <c r="D36" s="14"/>
      <c r="E36" s="10"/>
      <c r="F36" s="10"/>
      <c r="G36" s="10"/>
      <c r="H36" s="10"/>
      <c r="I36" s="10"/>
      <c r="J36" s="10"/>
      <c r="K36" s="10"/>
      <c r="L36" s="10"/>
      <c r="M36" s="10"/>
      <c r="N36" s="10"/>
      <c r="O36" s="10"/>
      <c r="P36" s="10"/>
      <c r="Q36" s="10"/>
      <c r="R36" s="10"/>
    </row>
    <row r="37" spans="1:26" ht="28" x14ac:dyDescent="0.3">
      <c r="A37" s="10"/>
      <c r="B37" s="10"/>
      <c r="C37" s="3"/>
      <c r="D37" s="6" t="s">
        <v>1861</v>
      </c>
      <c r="E37" s="6" t="s">
        <v>1862</v>
      </c>
      <c r="F37" s="6" t="s">
        <v>1863</v>
      </c>
      <c r="G37" s="6" t="s">
        <v>1864</v>
      </c>
      <c r="H37" s="6" t="s">
        <v>1905</v>
      </c>
      <c r="I37" s="114" t="s">
        <v>1206</v>
      </c>
      <c r="J37" s="10"/>
      <c r="K37" s="10"/>
      <c r="L37" s="10"/>
      <c r="M37" s="10"/>
      <c r="N37" s="10"/>
      <c r="O37" s="10"/>
      <c r="P37" s="10"/>
      <c r="Q37" s="10"/>
      <c r="R37" s="10"/>
    </row>
    <row r="38" spans="1:26" x14ac:dyDescent="0.3">
      <c r="A38" s="10"/>
      <c r="B38" s="10"/>
      <c r="C38" s="3" t="s">
        <v>1207</v>
      </c>
      <c r="D38" s="24">
        <f>COUNTIF('ALINDAO_Cleaned Data'!HS:HS,"moins_six_mois")</f>
        <v>0</v>
      </c>
      <c r="E38" s="24">
        <f>COUNTIF('ALINDAO_Cleaned Data'!AD:AD,"moins_six_mois")</f>
        <v>0</v>
      </c>
      <c r="F38" s="24">
        <f>COUNTIF('ALINDAO_Cleaned Data'!AE:AE,"moins_six_mois")</f>
        <v>0</v>
      </c>
      <c r="G38" s="24">
        <f>COUNTIF('ALINDAO_Cleaned Data'!AF:AF,"moins_six_mois")</f>
        <v>0</v>
      </c>
      <c r="H38" s="24">
        <f>COUNTIF('ALINDAO_Cleaned Data'!AG:AG,"moins_six_mois")</f>
        <v>0</v>
      </c>
      <c r="I38" s="115">
        <f>SUM(D38:H38)</f>
        <v>0</v>
      </c>
      <c r="J38" s="10"/>
      <c r="K38" s="10"/>
      <c r="L38" s="10"/>
      <c r="M38" s="10"/>
      <c r="N38" s="10"/>
      <c r="O38" s="10"/>
      <c r="P38" s="10"/>
      <c r="Q38" s="10"/>
      <c r="R38" s="10"/>
    </row>
    <row r="39" spans="1:26" ht="43.5" customHeight="1" x14ac:dyDescent="0.3">
      <c r="A39" s="10"/>
      <c r="B39" s="10"/>
      <c r="C39" s="53" t="s">
        <v>3260</v>
      </c>
      <c r="D39" s="7" t="e">
        <f>D38/$C$18</f>
        <v>#DIV/0!</v>
      </c>
      <c r="E39" s="7" t="e">
        <f t="shared" ref="E39:H39" si="4">E38/$C$18</f>
        <v>#DIV/0!</v>
      </c>
      <c r="F39" s="7" t="e">
        <f t="shared" si="4"/>
        <v>#DIV/0!</v>
      </c>
      <c r="G39" s="7" t="e">
        <f t="shared" si="4"/>
        <v>#DIV/0!</v>
      </c>
      <c r="H39" s="7" t="e">
        <f t="shared" si="4"/>
        <v>#DIV/0!</v>
      </c>
      <c r="I39" s="116" t="e">
        <f>SUM(D39:H39)</f>
        <v>#DIV/0!</v>
      </c>
      <c r="J39" s="10"/>
      <c r="K39" s="10"/>
      <c r="L39" s="10"/>
      <c r="M39" s="10"/>
      <c r="N39" s="10"/>
      <c r="O39" s="10"/>
      <c r="P39" s="10"/>
      <c r="Q39" s="10"/>
      <c r="R39" s="10"/>
    </row>
    <row r="40" spans="1:26" s="10" customFormat="1" ht="14.5" customHeight="1" x14ac:dyDescent="0.3">
      <c r="C40" s="14"/>
      <c r="D40" s="15"/>
      <c r="E40" s="15"/>
      <c r="F40" s="15"/>
      <c r="G40" s="15"/>
      <c r="H40" s="15"/>
    </row>
    <row r="41" spans="1:26" s="10" customFormat="1" ht="14.5" customHeight="1" x14ac:dyDescent="0.35">
      <c r="A41" s="29" t="s">
        <v>2787</v>
      </c>
      <c r="C41" s="14"/>
      <c r="D41" s="15"/>
      <c r="E41" s="15"/>
      <c r="F41" s="15"/>
      <c r="G41" s="15"/>
      <c r="H41" s="15"/>
    </row>
    <row r="42" spans="1:26" s="10" customFormat="1" ht="14.5" customHeight="1" x14ac:dyDescent="0.3">
      <c r="A42" s="3"/>
      <c r="B42" s="8" t="s">
        <v>1210</v>
      </c>
      <c r="C42" s="8" t="s">
        <v>2788</v>
      </c>
      <c r="D42" s="114" t="s">
        <v>1206</v>
      </c>
      <c r="E42" s="15"/>
      <c r="F42" s="15"/>
      <c r="G42" s="15"/>
      <c r="H42" s="15"/>
    </row>
    <row r="43" spans="1:26" s="10" customFormat="1" ht="14.5" customHeight="1" x14ac:dyDescent="0.3">
      <c r="A43" s="3" t="s">
        <v>1207</v>
      </c>
      <c r="B43" s="24">
        <f>COUNTIF('ALINDAO_Cleaned Data'!HT:HT,"oui")</f>
        <v>3</v>
      </c>
      <c r="C43" s="24">
        <f>COUNTIF('ALINDAO_Cleaned Data'!HT:HT,"non_inondees")</f>
        <v>0</v>
      </c>
      <c r="D43" s="115">
        <f>SUM(B43:C43)</f>
        <v>3</v>
      </c>
      <c r="E43" s="15"/>
      <c r="F43" s="15"/>
      <c r="G43" s="15"/>
      <c r="H43" s="15"/>
    </row>
    <row r="44" spans="1:26" s="10" customFormat="1" ht="28" customHeight="1" x14ac:dyDescent="0.3">
      <c r="A44" s="53" t="s">
        <v>3257</v>
      </c>
      <c r="B44" s="7">
        <f>B43/$B$3</f>
        <v>1</v>
      </c>
      <c r="C44" s="7">
        <f t="shared" ref="C44" si="5">C43/$B$3</f>
        <v>0</v>
      </c>
      <c r="D44" s="116">
        <f>SUM(B44:C44)</f>
        <v>1</v>
      </c>
      <c r="E44" s="15"/>
      <c r="F44" s="15"/>
      <c r="G44" s="15"/>
      <c r="H44" s="15"/>
    </row>
    <row r="45" spans="1:26" s="10" customFormat="1" ht="14.5" customHeight="1" x14ac:dyDescent="0.3">
      <c r="C45" s="14"/>
      <c r="D45" s="15"/>
      <c r="E45" s="15"/>
      <c r="F45" s="15"/>
      <c r="G45" s="15"/>
      <c r="H45" s="15"/>
    </row>
    <row r="46" spans="1:26" s="10" customFormat="1" ht="14.5" customHeight="1" x14ac:dyDescent="0.35">
      <c r="A46" s="29" t="s">
        <v>2780</v>
      </c>
      <c r="C46" s="14"/>
      <c r="D46" s="15"/>
      <c r="E46" s="15"/>
      <c r="F46" s="15"/>
      <c r="G46" s="15"/>
      <c r="H46" s="15"/>
    </row>
    <row r="47" spans="1:26" s="10" customFormat="1" ht="14.5" customHeight="1" x14ac:dyDescent="0.3">
      <c r="A47" s="3"/>
      <c r="B47" s="8" t="s">
        <v>1210</v>
      </c>
      <c r="C47" s="8" t="s">
        <v>2786</v>
      </c>
      <c r="D47" s="8" t="s">
        <v>1905</v>
      </c>
      <c r="E47" s="114" t="s">
        <v>1206</v>
      </c>
      <c r="F47" s="15"/>
      <c r="G47" s="15"/>
      <c r="H47" s="15"/>
    </row>
    <row r="48" spans="1:26" s="10" customFormat="1" ht="14.5" customHeight="1" x14ac:dyDescent="0.3">
      <c r="A48" s="3" t="s">
        <v>1207</v>
      </c>
      <c r="B48" s="24">
        <f>COUNTIF('ALINDAO_Cleaned Data'!HU:HU,"oui")</f>
        <v>3</v>
      </c>
      <c r="C48" s="24">
        <f>COUNTIF('ALINDAO_Cleaned Data'!HU:HU,"non")</f>
        <v>0</v>
      </c>
      <c r="D48" s="24">
        <f>COUNTIF('ALINDAO_Cleaned Data'!HU:HU,"nsp")</f>
        <v>0</v>
      </c>
      <c r="E48" s="115">
        <f>SUM(B48:D48)</f>
        <v>3</v>
      </c>
      <c r="F48" s="15"/>
      <c r="G48" s="15"/>
      <c r="H48" s="15"/>
    </row>
    <row r="49" spans="1:8" s="10" customFormat="1" ht="29.5" customHeight="1" x14ac:dyDescent="0.3">
      <c r="A49" s="53" t="s">
        <v>3257</v>
      </c>
      <c r="B49" s="7">
        <f>B48/$B$3</f>
        <v>1</v>
      </c>
      <c r="C49" s="7">
        <f t="shared" ref="C49:D49" si="6">C48/$B$3</f>
        <v>0</v>
      </c>
      <c r="D49" s="7">
        <f t="shared" si="6"/>
        <v>0</v>
      </c>
      <c r="E49" s="116">
        <f>SUM(B49:D49)</f>
        <v>1</v>
      </c>
      <c r="F49" s="15"/>
      <c r="G49" s="15"/>
      <c r="H49" s="15"/>
    </row>
    <row r="50" spans="1:8" s="10" customFormat="1" ht="14.5" customHeight="1" x14ac:dyDescent="0.35">
      <c r="A50" s="29"/>
      <c r="C50" s="14"/>
      <c r="D50" s="15"/>
      <c r="E50" s="15"/>
      <c r="F50" s="15"/>
      <c r="G50" s="15"/>
      <c r="H50" s="15"/>
    </row>
    <row r="51" spans="1:8" s="10" customFormat="1" ht="14.5" customHeight="1" x14ac:dyDescent="0.35">
      <c r="A51" s="29"/>
      <c r="B51" s="18" t="s">
        <v>2789</v>
      </c>
      <c r="C51" s="14"/>
      <c r="D51" s="15"/>
      <c r="E51" s="15"/>
      <c r="F51" s="15"/>
      <c r="G51" s="15"/>
      <c r="H51" s="15"/>
    </row>
    <row r="52" spans="1:8" s="10" customFormat="1" ht="14.5" customHeight="1" x14ac:dyDescent="0.35">
      <c r="A52" s="29"/>
      <c r="B52" s="21">
        <f>AVERAGE('ALINDAO_Cleaned Data'!HV:HV)</f>
        <v>4</v>
      </c>
      <c r="C52" s="14"/>
      <c r="D52" s="15"/>
      <c r="E52" s="15"/>
      <c r="F52" s="15"/>
      <c r="G52" s="15"/>
      <c r="H52" s="15"/>
    </row>
    <row r="53" spans="1:8" s="10" customFormat="1" ht="14.5" customHeight="1" x14ac:dyDescent="0.35">
      <c r="A53" s="29"/>
      <c r="B53" s="18" t="s">
        <v>2790</v>
      </c>
      <c r="C53" s="14"/>
      <c r="D53" s="15"/>
      <c r="E53" s="15"/>
      <c r="F53" s="15"/>
      <c r="G53" s="15"/>
      <c r="H53" s="15"/>
    </row>
    <row r="54" spans="1:8" s="10" customFormat="1" ht="14.5" customHeight="1" x14ac:dyDescent="0.35">
      <c r="A54" s="29"/>
      <c r="B54" s="21">
        <f>AVERAGE('ALINDAO_Cleaned Data'!HW:HW)</f>
        <v>4</v>
      </c>
      <c r="C54" s="14"/>
      <c r="D54" s="15"/>
      <c r="E54" s="15"/>
      <c r="F54" s="15"/>
      <c r="G54" s="15"/>
      <c r="H54" s="15"/>
    </row>
    <row r="55" spans="1:8" s="10" customFormat="1" ht="14.5" customHeight="1" x14ac:dyDescent="0.35">
      <c r="A55" s="29"/>
      <c r="B55" s="21"/>
      <c r="C55" s="14"/>
      <c r="D55" s="15"/>
      <c r="E55" s="15"/>
      <c r="F55" s="15"/>
      <c r="G55" s="15"/>
      <c r="H55" s="15"/>
    </row>
    <row r="56" spans="1:8" s="10" customFormat="1" ht="14.5" customHeight="1" x14ac:dyDescent="0.35">
      <c r="A56" s="29" t="s">
        <v>2792</v>
      </c>
      <c r="C56" s="14"/>
      <c r="D56" s="15"/>
      <c r="E56" s="15"/>
      <c r="F56" s="15"/>
      <c r="G56" s="15"/>
      <c r="H56" s="15"/>
    </row>
    <row r="57" spans="1:8" s="10" customFormat="1" ht="24.5" customHeight="1" x14ac:dyDescent="0.3">
      <c r="A57" s="3"/>
      <c r="B57" s="8" t="s">
        <v>2793</v>
      </c>
      <c r="C57" s="8" t="s">
        <v>2794</v>
      </c>
      <c r="D57" s="8" t="s">
        <v>1869</v>
      </c>
      <c r="E57" s="114" t="s">
        <v>1206</v>
      </c>
      <c r="F57" s="15"/>
      <c r="G57" s="15"/>
      <c r="H57" s="15"/>
    </row>
    <row r="58" spans="1:8" s="10" customFormat="1" ht="14.5" customHeight="1" x14ac:dyDescent="0.3">
      <c r="A58" s="3" t="s">
        <v>1207</v>
      </c>
      <c r="B58" s="24">
        <f>COUNTIF('ALINDAO_Cleaned Data'!HX:HX,"oui")</f>
        <v>2</v>
      </c>
      <c r="C58" s="24">
        <f>COUNTIF('ALINDAO_Cleaned Data'!HX:HX,"oui_partiel")</f>
        <v>0</v>
      </c>
      <c r="D58" s="24">
        <f>COUNTIF('ALINDAO_Cleaned Data'!HX:HX,"non")</f>
        <v>1</v>
      </c>
      <c r="E58" s="115">
        <f>SUM(B58:D58)</f>
        <v>3</v>
      </c>
      <c r="F58" s="15"/>
      <c r="G58" s="15"/>
      <c r="H58" s="15"/>
    </row>
    <row r="59" spans="1:8" s="10" customFormat="1" ht="30" customHeight="1" x14ac:dyDescent="0.3">
      <c r="A59" s="53" t="s">
        <v>3257</v>
      </c>
      <c r="B59" s="7">
        <f>B58/$B$3</f>
        <v>0.66666666666666663</v>
      </c>
      <c r="C59" s="7">
        <f t="shared" ref="C59:D59" si="7">C58/$B$3</f>
        <v>0</v>
      </c>
      <c r="D59" s="7">
        <f t="shared" si="7"/>
        <v>0.33333333333333331</v>
      </c>
      <c r="E59" s="116">
        <f>SUM(B59:D59)</f>
        <v>1</v>
      </c>
      <c r="F59" s="15"/>
      <c r="G59" s="15"/>
      <c r="H59" s="15"/>
    </row>
    <row r="60" spans="1:8" s="10" customFormat="1" ht="14.5" customHeight="1" x14ac:dyDescent="0.3">
      <c r="A60" s="14"/>
      <c r="B60" s="15"/>
      <c r="C60" s="15"/>
      <c r="D60" s="15"/>
      <c r="E60" s="15"/>
      <c r="F60" s="15"/>
      <c r="G60" s="15"/>
      <c r="H60" s="15"/>
    </row>
    <row r="61" spans="1:8" s="10" customFormat="1" ht="14.5" customHeight="1" x14ac:dyDescent="0.35">
      <c r="A61" s="29" t="s">
        <v>2795</v>
      </c>
      <c r="C61" s="14"/>
      <c r="D61" s="15"/>
      <c r="E61" s="15"/>
      <c r="F61" s="15"/>
      <c r="G61" s="15"/>
      <c r="H61" s="15"/>
    </row>
    <row r="62" spans="1:8" s="10" customFormat="1" ht="31" customHeight="1" x14ac:dyDescent="0.3">
      <c r="A62" s="3"/>
      <c r="B62" s="8" t="s">
        <v>2793</v>
      </c>
      <c r="C62" s="8" t="s">
        <v>2794</v>
      </c>
      <c r="D62" s="8" t="s">
        <v>1869</v>
      </c>
      <c r="E62" s="114" t="s">
        <v>1206</v>
      </c>
      <c r="F62" s="15"/>
      <c r="G62" s="15"/>
      <c r="H62" s="15"/>
    </row>
    <row r="63" spans="1:8" s="10" customFormat="1" ht="14.5" customHeight="1" x14ac:dyDescent="0.3">
      <c r="A63" s="3" t="s">
        <v>1207</v>
      </c>
      <c r="B63" s="24">
        <f>COUNTIF('ALINDAO_Cleaned Data'!HY:HY,"oui")</f>
        <v>3</v>
      </c>
      <c r="C63" s="24">
        <f>COUNTIF('ALINDAO_Cleaned Data'!HY:HY,"oui_partiel")</f>
        <v>0</v>
      </c>
      <c r="D63" s="24">
        <f>COUNTIF('ALINDAO_Cleaned Data'!HY:HY,"non")</f>
        <v>0</v>
      </c>
      <c r="E63" s="115">
        <f>SUM(B63:D63)</f>
        <v>3</v>
      </c>
      <c r="F63" s="15"/>
      <c r="G63" s="15"/>
      <c r="H63" s="15"/>
    </row>
    <row r="64" spans="1:8" s="10" customFormat="1" ht="31" customHeight="1" x14ac:dyDescent="0.3">
      <c r="A64" s="53" t="s">
        <v>3257</v>
      </c>
      <c r="B64" s="7">
        <f>B63/$B$3</f>
        <v>1</v>
      </c>
      <c r="C64" s="7">
        <f t="shared" ref="C64" si="8">C63/$B$3</f>
        <v>0</v>
      </c>
      <c r="D64" s="7">
        <f t="shared" ref="D64" si="9">D63/$B$3</f>
        <v>0</v>
      </c>
      <c r="E64" s="116">
        <f>SUM(B64:D64)</f>
        <v>1</v>
      </c>
      <c r="F64" s="15"/>
      <c r="G64" s="15"/>
      <c r="H64" s="15"/>
    </row>
    <row r="65" spans="1:12" s="10" customFormat="1" ht="14.5" customHeight="1" x14ac:dyDescent="0.3">
      <c r="A65" s="14"/>
      <c r="B65" s="15"/>
      <c r="C65" s="15"/>
      <c r="D65" s="15"/>
      <c r="E65" s="15"/>
      <c r="F65" s="15"/>
      <c r="G65" s="15"/>
      <c r="H65" s="15"/>
    </row>
    <row r="66" spans="1:12" s="10" customFormat="1" ht="14.5" customHeight="1" x14ac:dyDescent="0.3">
      <c r="A66" s="14"/>
      <c r="B66" s="42" t="s">
        <v>1270</v>
      </c>
      <c r="C66" s="15"/>
      <c r="D66" s="15"/>
      <c r="E66" s="15"/>
      <c r="F66" s="15"/>
      <c r="G66" s="15"/>
      <c r="H66" s="15"/>
    </row>
    <row r="67" spans="1:12" s="10" customFormat="1" ht="31.5" customHeight="1" x14ac:dyDescent="0.3">
      <c r="A67" s="14"/>
      <c r="B67" s="3"/>
      <c r="C67" s="8" t="s">
        <v>2796</v>
      </c>
      <c r="D67" s="8" t="s">
        <v>2797</v>
      </c>
      <c r="E67" s="8" t="s">
        <v>2798</v>
      </c>
      <c r="F67" s="8" t="s">
        <v>1905</v>
      </c>
      <c r="G67" s="8" t="s">
        <v>1205</v>
      </c>
      <c r="H67" s="15"/>
    </row>
    <row r="68" spans="1:12" s="10" customFormat="1" ht="14.5" customHeight="1" x14ac:dyDescent="0.3">
      <c r="A68" s="14"/>
      <c r="B68" s="3" t="s">
        <v>1207</v>
      </c>
      <c r="C68" s="24">
        <f>COUNTIF('ALINDAO_Cleaned Data'!HZ:HZ,"fermees")</f>
        <v>0</v>
      </c>
      <c r="D68" s="24">
        <f>COUNTIF('ALINDAO_Cleaned Data'!HZ:HZ,"pas_eclairees")</f>
        <v>0</v>
      </c>
      <c r="E68" s="24">
        <f>COUNTIF('ALINDAO_Cleaned Data'!HZ:HZ,"insecurite")</f>
        <v>0</v>
      </c>
      <c r="F68" s="24">
        <f>COUNTIF('ALINDAO_Cleaned Data'!HZ:HZ,"nsp")</f>
        <v>0</v>
      </c>
      <c r="G68" s="24">
        <f>COUNTIF('ALINDAO_Cleaned Data'!HZ:HZ,"autre")</f>
        <v>0</v>
      </c>
      <c r="H68" s="15"/>
    </row>
    <row r="69" spans="1:12" s="10" customFormat="1" ht="34.5" customHeight="1" x14ac:dyDescent="0.3">
      <c r="A69" s="14"/>
      <c r="B69" s="53" t="s">
        <v>3262</v>
      </c>
      <c r="C69" s="7" t="e">
        <f>C68/$D$63</f>
        <v>#DIV/0!</v>
      </c>
      <c r="D69" s="7" t="e">
        <f t="shared" ref="D69:G69" si="10">D68/$D$63</f>
        <v>#DIV/0!</v>
      </c>
      <c r="E69" s="7" t="e">
        <f t="shared" si="10"/>
        <v>#DIV/0!</v>
      </c>
      <c r="F69" s="7" t="e">
        <f t="shared" si="10"/>
        <v>#DIV/0!</v>
      </c>
      <c r="G69" s="7" t="e">
        <f t="shared" si="10"/>
        <v>#DIV/0!</v>
      </c>
      <c r="I69" s="87" t="s">
        <v>3261</v>
      </c>
    </row>
    <row r="70" spans="1:12" s="10" customFormat="1" ht="14.5" customHeight="1" x14ac:dyDescent="0.3">
      <c r="A70" s="14"/>
      <c r="B70" s="14"/>
      <c r="C70" s="15"/>
      <c r="D70" s="15"/>
      <c r="E70" s="15"/>
      <c r="F70" s="15"/>
      <c r="G70" s="15"/>
      <c r="H70" s="15"/>
    </row>
    <row r="71" spans="1:12" s="10" customFormat="1" ht="14.5" customHeight="1" x14ac:dyDescent="0.35">
      <c r="A71" s="29" t="s">
        <v>2799</v>
      </c>
      <c r="C71" s="14"/>
      <c r="D71" s="15"/>
      <c r="E71" s="15"/>
      <c r="F71" s="15"/>
      <c r="G71" s="15"/>
      <c r="H71" s="15"/>
    </row>
    <row r="72" spans="1:12" s="10" customFormat="1" ht="31" customHeight="1" x14ac:dyDescent="0.3">
      <c r="A72" s="3"/>
      <c r="B72" s="8" t="s">
        <v>1210</v>
      </c>
      <c r="C72" s="8" t="s">
        <v>2786</v>
      </c>
      <c r="D72" s="8" t="s">
        <v>1905</v>
      </c>
      <c r="E72" s="114" t="s">
        <v>1206</v>
      </c>
      <c r="F72" s="15"/>
      <c r="G72" s="15"/>
      <c r="H72" s="15"/>
    </row>
    <row r="73" spans="1:12" s="10" customFormat="1" ht="14.5" customHeight="1" x14ac:dyDescent="0.3">
      <c r="A73" s="3" t="s">
        <v>1207</v>
      </c>
      <c r="B73" s="24">
        <f>COUNTIF('ALINDAO_Cleaned Data'!IB:IB,"oui")</f>
        <v>3</v>
      </c>
      <c r="C73" s="24">
        <f>COUNTIF('ALINDAO_Cleaned Data'!IB:IB,"non")</f>
        <v>0</v>
      </c>
      <c r="D73" s="24">
        <f>COUNTIF('ALINDAO_Cleaned Data'!IB:IB,"nsp")</f>
        <v>0</v>
      </c>
      <c r="E73" s="115">
        <f>SUM(B73:D73)</f>
        <v>3</v>
      </c>
      <c r="F73" s="15"/>
      <c r="G73" s="15"/>
      <c r="H73" s="15"/>
    </row>
    <row r="74" spans="1:12" s="10" customFormat="1" ht="25.5" customHeight="1" x14ac:dyDescent="0.3">
      <c r="A74" s="53" t="s">
        <v>3257</v>
      </c>
      <c r="B74" s="7">
        <f>B73/$B$3</f>
        <v>1</v>
      </c>
      <c r="C74" s="7">
        <f t="shared" ref="C74" si="11">C73/$B$3</f>
        <v>0</v>
      </c>
      <c r="D74" s="7">
        <f t="shared" ref="D74" si="12">D73/$B$3</f>
        <v>0</v>
      </c>
      <c r="E74" s="116">
        <f>SUM(B74:D74)</f>
        <v>1</v>
      </c>
      <c r="F74" s="15"/>
      <c r="G74" s="15"/>
      <c r="H74" s="15"/>
    </row>
    <row r="75" spans="1:12" s="10" customFormat="1" ht="14.5" customHeight="1" x14ac:dyDescent="0.35">
      <c r="C75" s="23"/>
      <c r="D75" s="15"/>
      <c r="E75" s="15"/>
      <c r="F75" s="15"/>
      <c r="G75" s="15"/>
      <c r="H75" s="15"/>
    </row>
    <row r="76" spans="1:12" s="10" customFormat="1" ht="15.5" x14ac:dyDescent="0.35">
      <c r="A76" s="29" t="s">
        <v>1304</v>
      </c>
      <c r="B76" s="103" t="s">
        <v>3245</v>
      </c>
    </row>
    <row r="77" spans="1:12" s="10" customFormat="1" ht="42" x14ac:dyDescent="0.3">
      <c r="A77" s="24"/>
      <c r="B77" s="8" t="s">
        <v>1896</v>
      </c>
      <c r="C77" s="8" t="s">
        <v>1889</v>
      </c>
      <c r="D77" s="8" t="s">
        <v>1890</v>
      </c>
      <c r="E77" s="8" t="s">
        <v>1891</v>
      </c>
      <c r="F77" s="8" t="s">
        <v>1892</v>
      </c>
      <c r="G77" s="8" t="s">
        <v>1893</v>
      </c>
      <c r="H77" s="8" t="s">
        <v>1239</v>
      </c>
      <c r="I77" s="8" t="s">
        <v>1894</v>
      </c>
      <c r="J77" s="8" t="s">
        <v>1895</v>
      </c>
      <c r="K77" s="8" t="s">
        <v>1905</v>
      </c>
      <c r="L77" s="8" t="s">
        <v>1205</v>
      </c>
    </row>
    <row r="78" spans="1:12" s="10" customFormat="1" x14ac:dyDescent="0.3">
      <c r="A78" s="24" t="s">
        <v>1207</v>
      </c>
      <c r="B78" s="24">
        <f>COUNTIF('ALINDAO_Cleaned Data'!JC:JC,"1")</f>
        <v>0</v>
      </c>
      <c r="C78" s="24">
        <f>COUNTIF('ALINDAO_Cleaned Data'!JD:JD,"1")</f>
        <v>0</v>
      </c>
      <c r="D78" s="24">
        <f>COUNTIF('ALINDAO_Cleaned Data'!JE:JE,"1")</f>
        <v>0</v>
      </c>
      <c r="E78" s="24">
        <f>COUNTIF('ALINDAO_Cleaned Data'!JL:JL,"1")</f>
        <v>0</v>
      </c>
      <c r="F78" s="24">
        <f>COUNTIF('ALINDAO_Cleaned Data'!JM:JM,"1")</f>
        <v>0</v>
      </c>
      <c r="G78" s="24">
        <f>COUNTIF('ALINDAO_Cleaned Data'!JF:JF,"1")</f>
        <v>0</v>
      </c>
      <c r="H78" s="24">
        <f>COUNTIF('ALINDAO_Cleaned Data'!JG:JG,"1")</f>
        <v>0</v>
      </c>
      <c r="I78" s="24">
        <f>COUNTIF('ALINDAO_Cleaned Data'!JH:JH,"1")</f>
        <v>3</v>
      </c>
      <c r="J78" s="24">
        <f>COUNTIF('ALINDAO_Cleaned Data'!JI:JI,"1")</f>
        <v>0</v>
      </c>
      <c r="K78" s="24">
        <f>COUNTIF('ALINDAO_Cleaned Data'!JJ:JJ,"1")</f>
        <v>0</v>
      </c>
      <c r="L78" s="24">
        <f>COUNTIF('ALINDAO_Cleaned Data'!JK:JK,"1")</f>
        <v>0</v>
      </c>
    </row>
    <row r="79" spans="1:12" s="10" customFormat="1" ht="26" x14ac:dyDescent="0.3">
      <c r="A79" s="53" t="s">
        <v>3257</v>
      </c>
      <c r="B79" s="39">
        <f>B78/$B$3</f>
        <v>0</v>
      </c>
      <c r="C79" s="39">
        <f t="shared" ref="C79:L79" si="13">C78/$B$3</f>
        <v>0</v>
      </c>
      <c r="D79" s="39">
        <f t="shared" si="13"/>
        <v>0</v>
      </c>
      <c r="E79" s="39">
        <f t="shared" si="13"/>
        <v>0</v>
      </c>
      <c r="F79" s="39">
        <f t="shared" si="13"/>
        <v>0</v>
      </c>
      <c r="G79" s="39">
        <f t="shared" si="13"/>
        <v>0</v>
      </c>
      <c r="H79" s="39">
        <f t="shared" si="13"/>
        <v>0</v>
      </c>
      <c r="I79" s="39">
        <f t="shared" si="13"/>
        <v>1</v>
      </c>
      <c r="J79" s="39">
        <f t="shared" si="13"/>
        <v>0</v>
      </c>
      <c r="K79" s="39">
        <f t="shared" si="13"/>
        <v>0</v>
      </c>
      <c r="L79" s="39">
        <f t="shared" si="13"/>
        <v>0</v>
      </c>
    </row>
    <row r="80" spans="1:12" s="10" customFormat="1" x14ac:dyDescent="0.3"/>
    <row r="81" spans="1:18" x14ac:dyDescent="0.3">
      <c r="A81" s="10"/>
      <c r="B81" s="10"/>
      <c r="C81" s="10"/>
      <c r="D81" s="10"/>
      <c r="E81" s="10"/>
      <c r="F81" s="10"/>
      <c r="G81" s="10"/>
      <c r="H81" s="10"/>
      <c r="I81" s="10"/>
      <c r="J81" s="10"/>
      <c r="K81" s="10"/>
      <c r="L81" s="10"/>
      <c r="M81" s="10"/>
      <c r="N81" s="10"/>
      <c r="O81" s="10"/>
      <c r="P81" s="10"/>
      <c r="Q81" s="10"/>
      <c r="R81" s="10"/>
    </row>
    <row r="82" spans="1:18" ht="15.5" x14ac:dyDescent="0.35">
      <c r="A82" s="9" t="s">
        <v>1295</v>
      </c>
      <c r="B82" s="10"/>
      <c r="C82" s="10"/>
      <c r="D82" s="10"/>
      <c r="E82" s="10"/>
      <c r="F82" s="10"/>
      <c r="G82" s="10"/>
      <c r="H82" s="10"/>
      <c r="I82" s="10"/>
      <c r="J82" s="10"/>
      <c r="K82" s="10"/>
      <c r="L82" s="10"/>
      <c r="M82" s="10"/>
      <c r="N82" s="10"/>
      <c r="O82" s="10"/>
      <c r="P82" s="10"/>
      <c r="Q82" s="10"/>
      <c r="R82" s="10"/>
    </row>
    <row r="83" spans="1:18" ht="15.5" x14ac:dyDescent="0.35">
      <c r="A83" s="60" t="s">
        <v>2800</v>
      </c>
      <c r="D83" s="10"/>
      <c r="E83" s="10"/>
      <c r="F83" s="10"/>
      <c r="G83" s="10"/>
      <c r="H83" s="10"/>
      <c r="I83" s="10"/>
      <c r="J83" s="10"/>
      <c r="K83" s="10"/>
      <c r="L83" s="10"/>
      <c r="M83" s="10"/>
      <c r="N83" s="10"/>
      <c r="O83" s="10"/>
      <c r="P83" s="10"/>
      <c r="Q83" s="10"/>
      <c r="R83" s="10"/>
    </row>
    <row r="84" spans="1:18" x14ac:dyDescent="0.3">
      <c r="A84" s="19">
        <f>AVERAGE('ALINDAO_Cleaned Data'!IC:IC)</f>
        <v>70</v>
      </c>
      <c r="B84" s="10"/>
      <c r="C84" s="74"/>
      <c r="D84" s="10"/>
      <c r="E84" s="10"/>
      <c r="F84" s="10"/>
      <c r="G84" s="10"/>
      <c r="H84" s="10"/>
      <c r="I84" s="10"/>
      <c r="J84" s="10"/>
      <c r="K84" s="10"/>
      <c r="L84" s="10"/>
      <c r="M84" s="10"/>
      <c r="N84" s="10"/>
      <c r="O84" s="10"/>
      <c r="P84" s="10"/>
      <c r="Q84" s="10"/>
      <c r="R84" s="10"/>
    </row>
    <row r="85" spans="1:18" x14ac:dyDescent="0.3">
      <c r="A85" s="19"/>
      <c r="B85" s="10"/>
      <c r="C85" s="74"/>
      <c r="D85" s="10"/>
      <c r="E85" s="10"/>
      <c r="F85" s="10"/>
      <c r="G85" s="10"/>
      <c r="H85" s="10"/>
      <c r="I85" s="10"/>
      <c r="J85" s="10"/>
      <c r="K85" s="10"/>
      <c r="L85" s="10"/>
      <c r="M85" s="10"/>
      <c r="N85" s="10"/>
      <c r="O85" s="10"/>
      <c r="P85" s="10"/>
      <c r="Q85" s="10"/>
      <c r="R85" s="10"/>
    </row>
    <row r="86" spans="1:18" ht="15.5" x14ac:dyDescent="0.35">
      <c r="A86" s="60" t="s">
        <v>2804</v>
      </c>
      <c r="B86" s="10"/>
      <c r="C86" s="74"/>
      <c r="D86" s="10"/>
      <c r="E86" s="10"/>
      <c r="F86" s="10"/>
      <c r="G86" s="10"/>
      <c r="H86" s="10"/>
      <c r="I86" s="10"/>
      <c r="J86" s="10"/>
      <c r="K86" s="10"/>
      <c r="L86" s="10"/>
      <c r="M86" s="10"/>
      <c r="N86" s="10"/>
      <c r="O86" s="10"/>
      <c r="P86" s="10"/>
      <c r="Q86" s="10"/>
      <c r="R86" s="10"/>
    </row>
    <row r="87" spans="1:18" s="10" customFormat="1" ht="31" customHeight="1" x14ac:dyDescent="0.3">
      <c r="A87" s="3"/>
      <c r="B87" s="8" t="s">
        <v>1210</v>
      </c>
      <c r="C87" s="8" t="s">
        <v>2786</v>
      </c>
      <c r="D87" s="8" t="s">
        <v>1905</v>
      </c>
      <c r="E87" s="114" t="s">
        <v>1206</v>
      </c>
      <c r="F87" s="15"/>
      <c r="G87" s="15"/>
      <c r="H87" s="15"/>
    </row>
    <row r="88" spans="1:18" s="10" customFormat="1" ht="14.5" customHeight="1" x14ac:dyDescent="0.3">
      <c r="A88" s="3" t="s">
        <v>1207</v>
      </c>
      <c r="B88" s="24">
        <f>COUNTIF('ALINDAO_Cleaned Data'!IG:IG,"oui")</f>
        <v>1</v>
      </c>
      <c r="C88" s="24">
        <f>COUNTIF('ALINDAO_Cleaned Data'!IG:IG,"non")</f>
        <v>2</v>
      </c>
      <c r="D88" s="24">
        <f>COUNTIF('ALINDAO_Cleaned Data'!IG:IG,"nsp")</f>
        <v>0</v>
      </c>
      <c r="E88" s="115">
        <f>SUM(B88:D88)</f>
        <v>3</v>
      </c>
      <c r="F88" s="15"/>
      <c r="G88" s="15"/>
      <c r="H88" s="15"/>
    </row>
    <row r="89" spans="1:18" s="10" customFormat="1" ht="27.5" customHeight="1" x14ac:dyDescent="0.3">
      <c r="A89" s="53" t="s">
        <v>3257</v>
      </c>
      <c r="B89" s="7">
        <f>B88/$B$3</f>
        <v>0.33333333333333331</v>
      </c>
      <c r="C89" s="7">
        <f t="shared" ref="C89" si="14">C88/$B$3</f>
        <v>0.66666666666666663</v>
      </c>
      <c r="D89" s="7">
        <f t="shared" ref="D89" si="15">D88/$B$3</f>
        <v>0</v>
      </c>
      <c r="E89" s="116">
        <f>SUM(B89:D89)</f>
        <v>1</v>
      </c>
      <c r="F89" s="15"/>
      <c r="G89" s="15"/>
      <c r="H89" s="15"/>
    </row>
    <row r="90" spans="1:18" x14ac:dyDescent="0.3">
      <c r="A90" s="19"/>
      <c r="B90" s="10"/>
      <c r="C90" s="74"/>
      <c r="D90" s="10"/>
      <c r="E90" s="10"/>
      <c r="F90" s="10"/>
      <c r="G90" s="10"/>
      <c r="H90" s="10"/>
      <c r="I90" s="10"/>
      <c r="J90" s="10"/>
      <c r="K90" s="10"/>
      <c r="L90" s="10"/>
      <c r="M90" s="10"/>
      <c r="N90" s="10"/>
      <c r="O90" s="10"/>
      <c r="P90" s="10"/>
      <c r="Q90" s="10"/>
      <c r="R90" s="10"/>
    </row>
    <row r="91" spans="1:18" x14ac:dyDescent="0.3">
      <c r="A91" s="19"/>
      <c r="B91" s="18" t="s">
        <v>1992</v>
      </c>
      <c r="C91" s="74"/>
      <c r="D91" s="10"/>
      <c r="E91" s="10"/>
      <c r="F91" s="10"/>
      <c r="G91" s="10"/>
      <c r="H91" s="10"/>
      <c r="I91" s="10"/>
      <c r="J91" s="10"/>
      <c r="K91" s="10"/>
      <c r="L91" s="10"/>
      <c r="M91" s="10"/>
      <c r="N91" s="10"/>
      <c r="O91" s="10"/>
      <c r="P91" s="10"/>
      <c r="Q91" s="10"/>
      <c r="R91" s="10"/>
    </row>
    <row r="92" spans="1:18" ht="28" x14ac:dyDescent="0.3">
      <c r="A92" s="19"/>
      <c r="B92" s="3"/>
      <c r="C92" s="12" t="s">
        <v>1226</v>
      </c>
      <c r="D92" s="12" t="s">
        <v>1405</v>
      </c>
      <c r="E92" s="12" t="s">
        <v>1225</v>
      </c>
      <c r="F92" s="12" t="s">
        <v>1404</v>
      </c>
      <c r="G92" s="114" t="s">
        <v>1206</v>
      </c>
      <c r="H92" s="10"/>
      <c r="I92" s="10"/>
      <c r="J92" s="10"/>
      <c r="K92" s="10"/>
      <c r="L92" s="10"/>
      <c r="M92" s="10"/>
      <c r="N92" s="10"/>
      <c r="O92" s="10"/>
      <c r="P92" s="10"/>
      <c r="Q92" s="10"/>
      <c r="R92" s="10"/>
    </row>
    <row r="93" spans="1:18" x14ac:dyDescent="0.3">
      <c r="A93" s="19"/>
      <c r="B93" s="3" t="s">
        <v>1207</v>
      </c>
      <c r="C93" s="3">
        <f>COUNTIF('ALINDAO_Cleaned Data'!IH:IH,"bcp_diminue")</f>
        <v>0</v>
      </c>
      <c r="D93" s="3">
        <f>COUNTIF('ALINDAO_Cleaned Data'!IH:IH,"peu_diminue")</f>
        <v>0</v>
      </c>
      <c r="E93" s="3">
        <f>COUNTIF('ALINDAO_Cleaned Data'!IH:IH,"bcp_augmente")</f>
        <v>1</v>
      </c>
      <c r="F93" s="3">
        <f>COUNTIF('ALINDAO_Cleaned Data'!IH:IH,"peu_augmente")</f>
        <v>0</v>
      </c>
      <c r="G93" s="115">
        <f>SUM(C93:F93)</f>
        <v>1</v>
      </c>
      <c r="H93" s="10"/>
      <c r="I93" s="10"/>
      <c r="J93" s="10"/>
      <c r="K93" s="10"/>
      <c r="L93" s="10"/>
      <c r="M93" s="10"/>
      <c r="N93" s="10"/>
      <c r="O93" s="10"/>
      <c r="P93" s="10"/>
      <c r="Q93" s="10"/>
      <c r="R93" s="10"/>
    </row>
    <row r="94" spans="1:18" ht="49" x14ac:dyDescent="0.3">
      <c r="A94" s="19"/>
      <c r="B94" s="53" t="s">
        <v>3263</v>
      </c>
      <c r="C94" s="7">
        <f>(C93/$B$88)</f>
        <v>0</v>
      </c>
      <c r="D94" s="7">
        <f t="shared" ref="D94:F94" si="16">(D93/$B$88)</f>
        <v>0</v>
      </c>
      <c r="E94" s="7">
        <f t="shared" si="16"/>
        <v>1</v>
      </c>
      <c r="F94" s="7">
        <f t="shared" si="16"/>
        <v>0</v>
      </c>
      <c r="G94" s="116">
        <f>SUM(C94:F94)</f>
        <v>1</v>
      </c>
      <c r="H94" s="10"/>
      <c r="I94" s="10"/>
      <c r="J94" s="10"/>
      <c r="K94" s="10"/>
      <c r="L94" s="10"/>
      <c r="M94" s="10"/>
      <c r="N94" s="10"/>
      <c r="O94" s="10"/>
      <c r="P94" s="10"/>
      <c r="Q94" s="10"/>
      <c r="R94" s="10"/>
    </row>
    <row r="95" spans="1:18" s="10" customFormat="1" x14ac:dyDescent="0.3">
      <c r="A95" s="19"/>
      <c r="B95" s="14"/>
      <c r="C95" s="15"/>
      <c r="D95" s="15"/>
      <c r="E95" s="15"/>
      <c r="F95" s="15"/>
    </row>
    <row r="96" spans="1:18" x14ac:dyDescent="0.3">
      <c r="A96" s="10"/>
      <c r="B96" s="18" t="s">
        <v>1227</v>
      </c>
      <c r="C96" s="10"/>
      <c r="D96" s="103" t="s">
        <v>3245</v>
      </c>
      <c r="E96" s="10"/>
      <c r="F96" s="10"/>
      <c r="G96" s="10"/>
      <c r="H96" s="10"/>
      <c r="I96" s="10"/>
      <c r="J96" s="10"/>
      <c r="K96" s="10"/>
      <c r="L96" s="10"/>
      <c r="M96" s="10"/>
      <c r="N96" s="10"/>
      <c r="O96" s="10"/>
      <c r="P96" s="10"/>
      <c r="Q96" s="10"/>
      <c r="R96" s="10"/>
    </row>
    <row r="97" spans="1:45" s="13" customFormat="1" ht="57" customHeight="1" x14ac:dyDescent="0.3">
      <c r="A97" s="20"/>
      <c r="B97" s="3"/>
      <c r="C97" s="12" t="s">
        <v>2805</v>
      </c>
      <c r="D97" s="12" t="s">
        <v>2806</v>
      </c>
      <c r="E97" s="12" t="s">
        <v>2807</v>
      </c>
      <c r="F97" s="12" t="s">
        <v>2808</v>
      </c>
      <c r="G97" s="12" t="s">
        <v>2809</v>
      </c>
      <c r="H97" s="12" t="s">
        <v>2810</v>
      </c>
      <c r="I97" s="12" t="s">
        <v>1905</v>
      </c>
      <c r="J97" s="12" t="s">
        <v>1220</v>
      </c>
      <c r="K97" s="20"/>
      <c r="L97" s="20"/>
      <c r="M97" s="20"/>
      <c r="N97" s="20"/>
      <c r="O97" s="20"/>
      <c r="P97" s="20"/>
      <c r="Q97" s="20"/>
      <c r="R97" s="20"/>
      <c r="S97" s="20"/>
      <c r="T97" s="20"/>
      <c r="U97" s="20"/>
      <c r="V97" s="20"/>
      <c r="W97" s="20"/>
      <c r="X97" s="20"/>
      <c r="Y97" s="20"/>
      <c r="Z97" s="20"/>
    </row>
    <row r="98" spans="1:45" x14ac:dyDescent="0.3">
      <c r="A98" s="10"/>
      <c r="B98" s="3" t="s">
        <v>1207</v>
      </c>
      <c r="C98" s="3">
        <f>COUNTIF('ALINDAO_Cleaned Data'!IJ:IJ,"1")</f>
        <v>1</v>
      </c>
      <c r="D98" s="3">
        <f>COUNTIF('ALINDAO_Cleaned Data'!IK:IK,"1")</f>
        <v>0</v>
      </c>
      <c r="E98" s="3">
        <f>COUNTIF('ALINDAO_Cleaned Data'!IL:IL,"1")</f>
        <v>1</v>
      </c>
      <c r="F98" s="3">
        <f>COUNTIF('ALINDAO_Cleaned Data'!IM:IM,"1")</f>
        <v>1</v>
      </c>
      <c r="G98" s="3">
        <f>COUNTIF('ALINDAO_Cleaned Data'!IN:IN,"1")</f>
        <v>1</v>
      </c>
      <c r="H98" s="3">
        <f>COUNTIF('ALINDAO_Cleaned Data'!IO:IO,"1")</f>
        <v>0</v>
      </c>
      <c r="I98" s="3">
        <f>COUNTIF('ALINDAO_Cleaned Data'!IP:IP,"1")</f>
        <v>0</v>
      </c>
      <c r="J98" s="3">
        <f>COUNTIF('ALINDAO_Cleaned Data'!IQ:IQ,"1")</f>
        <v>0</v>
      </c>
      <c r="K98" s="10"/>
      <c r="L98" s="10"/>
      <c r="M98" s="10"/>
      <c r="N98" s="10"/>
      <c r="O98" s="10"/>
      <c r="P98" s="10"/>
      <c r="Q98" s="10"/>
      <c r="R98" s="10"/>
    </row>
    <row r="99" spans="1:45" ht="49" x14ac:dyDescent="0.3">
      <c r="A99" s="10"/>
      <c r="B99" s="53" t="s">
        <v>3264</v>
      </c>
      <c r="C99" s="7">
        <f>C98/($E$93+$F$93)</f>
        <v>1</v>
      </c>
      <c r="D99" s="7">
        <f t="shared" ref="D99:J99" si="17">D98/($E$93+$F$93)</f>
        <v>0</v>
      </c>
      <c r="E99" s="7">
        <f t="shared" si="17"/>
        <v>1</v>
      </c>
      <c r="F99" s="7">
        <f t="shared" si="17"/>
        <v>1</v>
      </c>
      <c r="G99" s="7">
        <f t="shared" si="17"/>
        <v>1</v>
      </c>
      <c r="H99" s="7">
        <f t="shared" si="17"/>
        <v>0</v>
      </c>
      <c r="I99" s="7">
        <f t="shared" si="17"/>
        <v>0</v>
      </c>
      <c r="J99" s="7">
        <f t="shared" si="17"/>
        <v>0</v>
      </c>
      <c r="K99" s="10"/>
      <c r="L99" s="10"/>
      <c r="M99" s="10"/>
      <c r="N99" s="10"/>
      <c r="O99" s="10"/>
      <c r="P99" s="10"/>
      <c r="Q99" s="10"/>
      <c r="R99" s="10"/>
    </row>
    <row r="100" spans="1:45" s="10" customFormat="1" x14ac:dyDescent="0.3">
      <c r="B100" s="15"/>
      <c r="C100" s="15"/>
      <c r="D100" s="15"/>
      <c r="E100" s="15"/>
      <c r="F100" s="15"/>
      <c r="G100" s="15"/>
      <c r="H100" s="15"/>
      <c r="I100" s="15"/>
    </row>
    <row r="101" spans="1:45" x14ac:dyDescent="0.3">
      <c r="A101" s="10"/>
      <c r="B101" s="18" t="s">
        <v>1310</v>
      </c>
      <c r="C101" s="10"/>
      <c r="D101" s="103" t="s">
        <v>3245</v>
      </c>
      <c r="E101" s="10"/>
      <c r="F101" s="10"/>
      <c r="G101" s="10"/>
      <c r="H101" s="10"/>
      <c r="I101" s="10"/>
      <c r="J101" s="10"/>
      <c r="K101" s="10"/>
      <c r="L101" s="10"/>
      <c r="M101" s="10"/>
      <c r="N101" s="10"/>
      <c r="O101" s="10"/>
      <c r="P101" s="10"/>
      <c r="Q101" s="10"/>
      <c r="R101" s="10"/>
    </row>
    <row r="102" spans="1:45" s="13" customFormat="1" ht="57" customHeight="1" x14ac:dyDescent="0.3">
      <c r="A102" s="20"/>
      <c r="B102" s="3"/>
      <c r="C102" s="12" t="s">
        <v>2811</v>
      </c>
      <c r="D102" s="12" t="s">
        <v>2812</v>
      </c>
      <c r="E102" s="12" t="s">
        <v>1885</v>
      </c>
      <c r="F102" s="12" t="s">
        <v>2813</v>
      </c>
      <c r="G102" s="12" t="s">
        <v>2814</v>
      </c>
      <c r="H102" s="12" t="s">
        <v>1905</v>
      </c>
      <c r="I102" s="12" t="s">
        <v>1220</v>
      </c>
      <c r="J102" s="20"/>
      <c r="K102" s="20"/>
      <c r="L102" s="20"/>
      <c r="M102" s="20"/>
      <c r="N102" s="20"/>
      <c r="O102" s="20"/>
      <c r="P102" s="20"/>
      <c r="Q102" s="20"/>
      <c r="R102" s="20"/>
      <c r="S102" s="20"/>
      <c r="T102" s="20"/>
      <c r="U102" s="20"/>
      <c r="V102" s="20"/>
      <c r="W102" s="20"/>
      <c r="X102" s="20"/>
      <c r="Y102" s="20"/>
      <c r="Z102" s="20"/>
    </row>
    <row r="103" spans="1:45" x14ac:dyDescent="0.3">
      <c r="A103" s="10"/>
      <c r="B103" s="3" t="s">
        <v>1207</v>
      </c>
      <c r="C103" s="3">
        <f>COUNTIF('ALINDAO_Cleaned Data'!IT:IT,"1")</f>
        <v>0</v>
      </c>
      <c r="D103" s="3">
        <f>COUNTIF('ALINDAO_Cleaned Data'!IU:IU,"1")</f>
        <v>0</v>
      </c>
      <c r="E103" s="3">
        <f>COUNTIF('ALINDAO_Cleaned Data'!IV:IV,"1")</f>
        <v>0</v>
      </c>
      <c r="F103" s="3">
        <f>COUNTIF('ALINDAO_Cleaned Data'!IW:IW,"1")</f>
        <v>0</v>
      </c>
      <c r="G103" s="3">
        <f>COUNTIF('ALINDAO_Cleaned Data'!IX:IX,"1")</f>
        <v>0</v>
      </c>
      <c r="H103" s="3">
        <f>COUNTIF('ALINDAO_Cleaned Data'!IY:IY,"1")</f>
        <v>0</v>
      </c>
      <c r="I103" s="3">
        <f>COUNTIF('ALINDAO_Cleaned Data'!IZ:IZ,"1")</f>
        <v>0</v>
      </c>
      <c r="J103" s="10"/>
      <c r="K103" s="10"/>
      <c r="L103" s="10"/>
      <c r="M103" s="10"/>
      <c r="N103" s="10"/>
      <c r="O103" s="10"/>
      <c r="P103" s="10"/>
      <c r="Q103" s="10"/>
      <c r="R103" s="10"/>
    </row>
    <row r="104" spans="1:45" ht="49" x14ac:dyDescent="0.3">
      <c r="A104" s="10"/>
      <c r="B104" s="53" t="s">
        <v>3265</v>
      </c>
      <c r="C104" s="7" t="e">
        <f>C103/($C$93+$D$93)</f>
        <v>#DIV/0!</v>
      </c>
      <c r="D104" s="7" t="e">
        <f t="shared" ref="D104:I104" si="18">D103/($C$93+$D$93)</f>
        <v>#DIV/0!</v>
      </c>
      <c r="E104" s="7" t="e">
        <f t="shared" si="18"/>
        <v>#DIV/0!</v>
      </c>
      <c r="F104" s="7" t="e">
        <f t="shared" si="18"/>
        <v>#DIV/0!</v>
      </c>
      <c r="G104" s="7" t="e">
        <f t="shared" si="18"/>
        <v>#DIV/0!</v>
      </c>
      <c r="H104" s="7" t="e">
        <f t="shared" si="18"/>
        <v>#DIV/0!</v>
      </c>
      <c r="I104" s="7" t="e">
        <f t="shared" si="18"/>
        <v>#DIV/0!</v>
      </c>
      <c r="J104" s="10"/>
      <c r="K104" s="10"/>
      <c r="L104" s="10"/>
      <c r="M104" s="10"/>
      <c r="N104" s="10"/>
      <c r="O104" s="10"/>
      <c r="P104" s="10"/>
      <c r="Q104" s="10"/>
      <c r="R104" s="10"/>
    </row>
    <row r="105" spans="1:45" s="10" customFormat="1" x14ac:dyDescent="0.3">
      <c r="A105" s="19"/>
      <c r="B105" s="14"/>
      <c r="C105" s="15"/>
      <c r="D105" s="15"/>
      <c r="E105" s="15"/>
      <c r="F105" s="15"/>
    </row>
    <row r="106" spans="1:45" ht="15.5" x14ac:dyDescent="0.35">
      <c r="A106" s="29" t="s">
        <v>1519</v>
      </c>
      <c r="B106" s="10"/>
      <c r="C106" s="10"/>
      <c r="D106" s="10"/>
      <c r="E106" s="10"/>
      <c r="F106" s="10"/>
      <c r="G106" s="10"/>
      <c r="H106" s="10"/>
      <c r="I106" s="10"/>
      <c r="J106" s="10"/>
      <c r="K106" s="10"/>
      <c r="L106" s="10"/>
      <c r="M106" s="10"/>
      <c r="N106" s="10"/>
      <c r="O106" s="10"/>
      <c r="P106" s="10"/>
      <c r="Q106" s="10"/>
      <c r="R106" s="10"/>
      <c r="AA106" s="10"/>
      <c r="AB106" s="10"/>
      <c r="AC106" s="10"/>
      <c r="AD106" s="10"/>
      <c r="AE106" s="10"/>
      <c r="AF106" s="10"/>
      <c r="AG106" s="10"/>
      <c r="AH106" s="10"/>
      <c r="AI106" s="10"/>
      <c r="AJ106" s="10"/>
      <c r="AK106" s="10"/>
      <c r="AL106" s="10"/>
      <c r="AM106" s="10"/>
      <c r="AN106" s="10"/>
      <c r="AO106" s="10"/>
      <c r="AP106" s="10"/>
      <c r="AQ106" s="10"/>
      <c r="AR106" s="10"/>
      <c r="AS106" s="10"/>
    </row>
    <row r="107" spans="1:45" ht="42" x14ac:dyDescent="0.3">
      <c r="A107" s="3"/>
      <c r="B107" s="8" t="s">
        <v>1520</v>
      </c>
      <c r="C107" s="8" t="s">
        <v>1521</v>
      </c>
      <c r="D107" s="8" t="s">
        <v>1522</v>
      </c>
      <c r="E107" s="8" t="s">
        <v>1523</v>
      </c>
      <c r="F107" s="8" t="s">
        <v>1524</v>
      </c>
      <c r="G107" s="8" t="s">
        <v>3259</v>
      </c>
      <c r="H107" s="8" t="s">
        <v>1220</v>
      </c>
      <c r="I107" s="114" t="s">
        <v>1206</v>
      </c>
      <c r="J107" s="10"/>
      <c r="K107" s="10"/>
      <c r="L107" s="10"/>
      <c r="M107" s="10"/>
      <c r="N107" s="10"/>
      <c r="O107" s="10"/>
      <c r="P107" s="10"/>
      <c r="Q107" s="10"/>
      <c r="R107" s="10"/>
      <c r="AA107" s="10"/>
      <c r="AB107" s="10"/>
      <c r="AC107" s="10"/>
      <c r="AD107" s="10"/>
      <c r="AE107" s="10"/>
      <c r="AF107" s="10"/>
      <c r="AG107" s="10"/>
      <c r="AH107" s="10"/>
      <c r="AI107" s="10"/>
      <c r="AJ107" s="10"/>
      <c r="AK107" s="10"/>
      <c r="AL107" s="10"/>
      <c r="AM107" s="10"/>
      <c r="AN107" s="10"/>
      <c r="AO107" s="10"/>
      <c r="AP107" s="10"/>
      <c r="AQ107" s="10"/>
      <c r="AR107" s="10"/>
      <c r="AS107" s="10"/>
    </row>
    <row r="108" spans="1:45" x14ac:dyDescent="0.3">
      <c r="A108" s="3" t="s">
        <v>1207</v>
      </c>
      <c r="B108" s="3">
        <f>COUNTIF('ALINDAO_Cleaned Data'!IE:IE,"maisons_alentours")</f>
        <v>0</v>
      </c>
      <c r="C108" s="3">
        <f>COUNTIF('ALINDAO_Cleaned Data'!IE:IE,"quartier")</f>
        <v>2</v>
      </c>
      <c r="D108" s="3">
        <f>COUNTIF('ALINDAO_Cleaned Data'!IE:IE,"plusieurs_quartiers")</f>
        <v>1</v>
      </c>
      <c r="E108" s="3">
        <f>COUNTIF('ALINDAO_Cleaned Data'!IE:IE,"localite")</f>
        <v>0</v>
      </c>
      <c r="F108" s="3">
        <f>COUNTIF('ALINDAO_Cleaned Data'!IE:IE,"localites_environs")</f>
        <v>0</v>
      </c>
      <c r="G108" s="3">
        <f>COUNTIF('ALINDAO_Cleaned Data'!IE:IE,"nsp")</f>
        <v>0</v>
      </c>
      <c r="H108" s="3">
        <f>COUNTIF('ALINDAO_Cleaned Data'!IE:IE,"autre")</f>
        <v>0</v>
      </c>
      <c r="I108" s="115">
        <f>SUM(B108:H108)</f>
        <v>3</v>
      </c>
      <c r="J108" s="10"/>
      <c r="K108" s="10"/>
      <c r="L108" s="10"/>
      <c r="M108" s="10"/>
      <c r="N108" s="10"/>
      <c r="O108" s="10"/>
      <c r="P108" s="10"/>
      <c r="Q108" s="10"/>
      <c r="R108" s="10"/>
      <c r="AA108" s="10"/>
      <c r="AB108" s="10"/>
      <c r="AC108" s="10"/>
      <c r="AD108" s="10"/>
      <c r="AE108" s="10"/>
      <c r="AF108" s="10"/>
      <c r="AG108" s="10"/>
      <c r="AH108" s="10"/>
      <c r="AI108" s="10"/>
      <c r="AJ108" s="10"/>
      <c r="AK108" s="10"/>
      <c r="AL108" s="10"/>
      <c r="AM108" s="10"/>
      <c r="AN108" s="10"/>
      <c r="AO108" s="10"/>
      <c r="AP108" s="10"/>
      <c r="AQ108" s="10"/>
      <c r="AR108" s="10"/>
      <c r="AS108" s="10"/>
    </row>
    <row r="109" spans="1:45" s="56" customFormat="1" ht="25.5" x14ac:dyDescent="0.3">
      <c r="A109" s="54" t="s">
        <v>2802</v>
      </c>
      <c r="B109" s="55">
        <f>(B108/$E$18)</f>
        <v>0</v>
      </c>
      <c r="C109" s="55">
        <f t="shared" ref="C109:H109" si="19">(C108/$E$18)</f>
        <v>0.66666666666666663</v>
      </c>
      <c r="D109" s="55">
        <f t="shared" si="19"/>
        <v>0.33333333333333331</v>
      </c>
      <c r="E109" s="55">
        <f t="shared" si="19"/>
        <v>0</v>
      </c>
      <c r="F109" s="55">
        <f t="shared" si="19"/>
        <v>0</v>
      </c>
      <c r="G109" s="55">
        <f t="shared" si="19"/>
        <v>0</v>
      </c>
      <c r="H109" s="55">
        <f t="shared" si="19"/>
        <v>0</v>
      </c>
      <c r="I109" s="116">
        <f>SUM(B109:H109)</f>
        <v>1</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row>
    <row r="110" spans="1:45" s="36" customFormat="1" x14ac:dyDescent="0.35">
      <c r="A110" s="65"/>
      <c r="B110" s="48"/>
      <c r="C110" s="48"/>
      <c r="D110" s="48"/>
      <c r="E110" s="48"/>
      <c r="F110" s="48"/>
      <c r="G110" s="48"/>
      <c r="H110" s="48"/>
    </row>
    <row r="111" spans="1:45" ht="15.5" x14ac:dyDescent="0.35">
      <c r="A111" s="60" t="s">
        <v>2801</v>
      </c>
      <c r="B111" s="10"/>
      <c r="C111" s="74"/>
      <c r="D111" s="10"/>
      <c r="E111" s="10"/>
      <c r="F111" s="10"/>
      <c r="G111" s="10"/>
      <c r="H111" s="10"/>
      <c r="I111" s="10"/>
      <c r="J111" s="10"/>
      <c r="K111" s="10"/>
      <c r="L111" s="10"/>
      <c r="M111" s="10"/>
      <c r="N111" s="10"/>
      <c r="O111" s="10"/>
      <c r="P111" s="10"/>
      <c r="Q111" s="10"/>
      <c r="R111" s="10"/>
    </row>
    <row r="112" spans="1:45" ht="28" x14ac:dyDescent="0.3">
      <c r="A112" s="3"/>
      <c r="B112" s="8" t="s">
        <v>2803</v>
      </c>
      <c r="C112" s="8" t="s">
        <v>1871</v>
      </c>
      <c r="D112" s="8" t="s">
        <v>1872</v>
      </c>
      <c r="E112" s="8" t="s">
        <v>1873</v>
      </c>
      <c r="F112" s="8" t="s">
        <v>1874</v>
      </c>
      <c r="G112" s="8" t="s">
        <v>1875</v>
      </c>
      <c r="H112" s="8" t="s">
        <v>3259</v>
      </c>
      <c r="I112" s="114" t="s">
        <v>1206</v>
      </c>
      <c r="J112" s="49"/>
      <c r="K112" s="49"/>
      <c r="L112" s="49"/>
      <c r="M112" s="49"/>
      <c r="N112" s="10"/>
      <c r="O112" s="10"/>
      <c r="P112" s="10"/>
      <c r="Q112" s="10"/>
      <c r="R112" s="10"/>
      <c r="AA112" s="10"/>
      <c r="AB112" s="10"/>
      <c r="AC112" s="10"/>
      <c r="AD112" s="10"/>
      <c r="AE112" s="10"/>
      <c r="AF112" s="10"/>
      <c r="AG112" s="10"/>
      <c r="AH112" s="10"/>
      <c r="AI112" s="10"/>
      <c r="AJ112" s="10"/>
      <c r="AK112" s="10"/>
      <c r="AL112" s="10"/>
      <c r="AM112" s="10"/>
      <c r="AN112" s="10"/>
      <c r="AO112" s="10"/>
      <c r="AP112" s="10"/>
      <c r="AQ112" s="10"/>
      <c r="AR112" s="10"/>
      <c r="AS112" s="10"/>
    </row>
    <row r="113" spans="1:45" x14ac:dyDescent="0.3">
      <c r="A113" s="3" t="s">
        <v>1207</v>
      </c>
      <c r="B113" s="24">
        <f>COUNTIF('ALINDAO_Cleaned Data'!ID:ID,"aucun")</f>
        <v>2</v>
      </c>
      <c r="C113" s="24">
        <f>COUNTIF('ALINDAO_Cleaned Data'!ID:ID,"moins_trente_minutes")</f>
        <v>1</v>
      </c>
      <c r="D113" s="24">
        <f>COUNTIF('ALINDAO_Cleaned Data'!ID:ID,"une_heure")</f>
        <v>0</v>
      </c>
      <c r="E113" s="24">
        <f>COUNTIF('ALINDAO_Cleaned Data'!ID:ID,"une_deux_heures")</f>
        <v>0</v>
      </c>
      <c r="F113" s="24">
        <f>COUNTIF('ALINDAO_Cleaned Data'!ID:ID,"deux_trois_heures")</f>
        <v>0</v>
      </c>
      <c r="G113" s="24">
        <f>COUNTIF('ALINDAO_Cleaned Data'!ID:ID,"plus_trois_heures")</f>
        <v>0</v>
      </c>
      <c r="H113" s="24">
        <f>COUNTIF('ALINDAO_Cleaned Data'!ID:ID,"nsp")</f>
        <v>0</v>
      </c>
      <c r="I113" s="115">
        <f>SUM(B113:H113)</f>
        <v>3</v>
      </c>
      <c r="J113" s="10"/>
      <c r="K113" s="10"/>
      <c r="L113" s="10"/>
      <c r="M113" s="10"/>
      <c r="N113" s="10"/>
      <c r="O113" s="10"/>
      <c r="P113" s="10"/>
      <c r="Q113" s="10"/>
      <c r="R113" s="10"/>
      <c r="AA113" s="10"/>
      <c r="AB113" s="10"/>
      <c r="AC113" s="10"/>
      <c r="AD113" s="10"/>
      <c r="AE113" s="10"/>
      <c r="AF113" s="10"/>
      <c r="AG113" s="10"/>
      <c r="AH113" s="10"/>
      <c r="AI113" s="10"/>
      <c r="AJ113" s="10"/>
      <c r="AK113" s="10"/>
      <c r="AL113" s="10"/>
      <c r="AM113" s="10"/>
      <c r="AN113" s="10"/>
      <c r="AO113" s="10"/>
      <c r="AP113" s="10"/>
      <c r="AQ113" s="10"/>
      <c r="AR113" s="10"/>
      <c r="AS113" s="10"/>
    </row>
    <row r="114" spans="1:45" s="56" customFormat="1" ht="25.5" x14ac:dyDescent="0.3">
      <c r="A114" s="54" t="s">
        <v>2802</v>
      </c>
      <c r="B114" s="55">
        <f>(B113/$E$18)</f>
        <v>0.66666666666666663</v>
      </c>
      <c r="C114" s="55">
        <f t="shared" ref="C114:H114" si="20">(C113/$E$18)</f>
        <v>0.33333333333333331</v>
      </c>
      <c r="D114" s="55">
        <f t="shared" si="20"/>
        <v>0</v>
      </c>
      <c r="E114" s="55">
        <f t="shared" si="20"/>
        <v>0</v>
      </c>
      <c r="F114" s="55">
        <f t="shared" si="20"/>
        <v>0</v>
      </c>
      <c r="G114" s="55">
        <f t="shared" si="20"/>
        <v>0</v>
      </c>
      <c r="H114" s="55">
        <f t="shared" si="20"/>
        <v>0</v>
      </c>
      <c r="I114" s="116">
        <f>SUM(B114:H114)</f>
        <v>1</v>
      </c>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row>
    <row r="115" spans="1:45" x14ac:dyDescent="0.3">
      <c r="A115" s="19"/>
      <c r="B115" s="10"/>
      <c r="C115" s="10"/>
      <c r="D115" s="10"/>
      <c r="E115" s="10"/>
      <c r="F115" s="10"/>
      <c r="G115" s="10"/>
      <c r="H115" s="10"/>
      <c r="I115" s="10"/>
      <c r="J115" s="10"/>
      <c r="K115" s="10"/>
      <c r="L115" s="10"/>
      <c r="M115" s="10"/>
      <c r="N115" s="10"/>
      <c r="O115" s="10"/>
      <c r="P115" s="10"/>
      <c r="Q115" s="10"/>
      <c r="R115" s="10"/>
    </row>
    <row r="116" spans="1:45" ht="15.5" x14ac:dyDescent="0.35">
      <c r="A116" s="9" t="s">
        <v>1296</v>
      </c>
      <c r="B116" s="10"/>
      <c r="C116" s="10"/>
      <c r="D116" s="10"/>
      <c r="E116" s="10"/>
      <c r="F116" s="10"/>
      <c r="G116" s="10"/>
      <c r="H116" s="10"/>
      <c r="I116" s="10"/>
      <c r="J116" s="10"/>
      <c r="K116" s="10"/>
      <c r="L116" s="10"/>
      <c r="M116" s="10"/>
      <c r="N116" s="10"/>
      <c r="O116" s="10"/>
      <c r="P116" s="10"/>
      <c r="Q116" s="10"/>
      <c r="R116" s="10"/>
    </row>
    <row r="117" spans="1:45" ht="15.5" x14ac:dyDescent="0.35">
      <c r="A117" s="29" t="s">
        <v>1857</v>
      </c>
      <c r="B117" s="10"/>
      <c r="C117" s="10"/>
      <c r="D117" s="10"/>
      <c r="E117" s="10"/>
      <c r="F117" s="10"/>
      <c r="G117" s="10"/>
      <c r="H117" s="10"/>
      <c r="I117" s="10"/>
      <c r="J117" s="10"/>
      <c r="K117" s="10"/>
      <c r="L117" s="10"/>
      <c r="M117" s="10"/>
      <c r="N117" s="10"/>
      <c r="O117" s="10"/>
      <c r="P117" s="10"/>
      <c r="Q117" s="10"/>
      <c r="R117" s="10"/>
    </row>
    <row r="118" spans="1:45" x14ac:dyDescent="0.3">
      <c r="A118" s="3"/>
      <c r="B118" s="8" t="s">
        <v>1210</v>
      </c>
      <c r="C118" s="8" t="s">
        <v>1209</v>
      </c>
      <c r="D118" s="8" t="s">
        <v>3259</v>
      </c>
      <c r="E118" s="114" t="s">
        <v>1206</v>
      </c>
      <c r="F118" s="10"/>
      <c r="G118" s="10"/>
      <c r="H118" s="10"/>
      <c r="I118" s="10"/>
      <c r="J118" s="10"/>
      <c r="K118" s="10"/>
      <c r="L118" s="10"/>
      <c r="M118" s="10"/>
      <c r="N118" s="10"/>
      <c r="O118" s="10"/>
      <c r="P118" s="10"/>
      <c r="Q118" s="10"/>
      <c r="R118" s="10"/>
    </row>
    <row r="119" spans="1:45" x14ac:dyDescent="0.3">
      <c r="A119" s="3" t="s">
        <v>1207</v>
      </c>
      <c r="B119" s="3">
        <f>COUNTIF('ALINDAO_Cleaned Data'!HD:HD,"OUI")</f>
        <v>2</v>
      </c>
      <c r="C119" s="3">
        <f>COUNTIF('ALINDAO_Cleaned Data'!HD:HD,"non")</f>
        <v>1</v>
      </c>
      <c r="D119" s="3">
        <f>COUNTIF('ALINDAO_Cleaned Data'!HD:HD,"nsp")</f>
        <v>0</v>
      </c>
      <c r="E119" s="115">
        <f>SUM(B119:D119)</f>
        <v>3</v>
      </c>
      <c r="F119" s="10"/>
      <c r="G119" s="10"/>
      <c r="H119" s="10"/>
      <c r="I119" s="10"/>
      <c r="J119" s="10"/>
      <c r="K119" s="10"/>
      <c r="L119" s="10"/>
      <c r="M119" s="10"/>
      <c r="N119" s="10"/>
      <c r="O119" s="10"/>
      <c r="P119" s="10"/>
      <c r="Q119" s="10"/>
      <c r="R119" s="10"/>
    </row>
    <row r="120" spans="1:45" ht="26" x14ac:dyDescent="0.3">
      <c r="A120" s="53" t="s">
        <v>3257</v>
      </c>
      <c r="B120" s="7">
        <f>(B119/$B$3)</f>
        <v>0.66666666666666663</v>
      </c>
      <c r="C120" s="7">
        <f>(C119/$B$3)</f>
        <v>0.33333333333333331</v>
      </c>
      <c r="D120" s="7">
        <f>(D119/$B$3)</f>
        <v>0</v>
      </c>
      <c r="E120" s="116">
        <f>SUM(B120:D120)</f>
        <v>1</v>
      </c>
      <c r="F120" s="10"/>
      <c r="G120" s="10"/>
      <c r="H120" s="10"/>
      <c r="I120" s="10"/>
      <c r="J120" s="10"/>
      <c r="K120" s="10"/>
      <c r="L120" s="10"/>
      <c r="M120" s="10"/>
      <c r="N120" s="10"/>
      <c r="O120" s="10"/>
      <c r="P120" s="10"/>
      <c r="Q120" s="10"/>
      <c r="R120" s="10"/>
    </row>
    <row r="121" spans="1:45" ht="15.5" x14ac:dyDescent="0.35">
      <c r="A121" s="9"/>
      <c r="B121" s="10"/>
      <c r="C121" s="10"/>
      <c r="D121" s="10"/>
      <c r="E121" s="10"/>
      <c r="F121" s="10"/>
      <c r="G121" s="10"/>
      <c r="H121" s="10"/>
      <c r="I121" s="10"/>
      <c r="J121" s="10"/>
      <c r="K121" s="10"/>
      <c r="L121" s="10"/>
      <c r="M121" s="10"/>
      <c r="N121" s="10"/>
      <c r="O121" s="10"/>
      <c r="P121" s="10"/>
      <c r="Q121" s="10"/>
      <c r="R121" s="10"/>
    </row>
    <row r="122" spans="1:45" ht="15.5" x14ac:dyDescent="0.35">
      <c r="A122" s="29" t="s">
        <v>1297</v>
      </c>
      <c r="B122" s="10"/>
      <c r="C122" s="10"/>
      <c r="D122" s="10"/>
      <c r="E122" s="10"/>
      <c r="F122" s="10"/>
      <c r="G122" s="10"/>
      <c r="H122" s="10"/>
      <c r="I122" s="10"/>
      <c r="J122" s="10"/>
      <c r="K122" s="10"/>
      <c r="L122" s="10"/>
      <c r="M122" s="10"/>
      <c r="N122" s="10"/>
      <c r="O122" s="10"/>
      <c r="P122" s="10"/>
      <c r="Q122" s="10"/>
      <c r="R122" s="10"/>
    </row>
    <row r="123" spans="1:45" x14ac:dyDescent="0.3">
      <c r="A123" s="3"/>
      <c r="B123" s="8" t="s">
        <v>1210</v>
      </c>
      <c r="C123" s="8" t="s">
        <v>1209</v>
      </c>
      <c r="D123" s="8" t="s">
        <v>3259</v>
      </c>
      <c r="E123" s="114" t="s">
        <v>1206</v>
      </c>
      <c r="F123" s="10"/>
      <c r="G123" s="10"/>
      <c r="H123" s="10"/>
      <c r="I123" s="10"/>
      <c r="J123" s="10"/>
      <c r="K123" s="10"/>
      <c r="L123" s="10"/>
      <c r="M123" s="10"/>
      <c r="N123" s="10"/>
      <c r="O123" s="10"/>
      <c r="P123" s="10"/>
      <c r="Q123" s="10"/>
      <c r="R123" s="10"/>
    </row>
    <row r="124" spans="1:45" x14ac:dyDescent="0.3">
      <c r="A124" s="3" t="s">
        <v>1207</v>
      </c>
      <c r="B124" s="3">
        <f>COUNTIF('ALINDAO_Cleaned Data'!JP:JP,"OUI")</f>
        <v>0</v>
      </c>
      <c r="C124" s="3">
        <f>COUNTIF('ALINDAO_Cleaned Data'!JP:JP,"non")</f>
        <v>3</v>
      </c>
      <c r="D124" s="3">
        <f>COUNTIF('ALINDAO_Cleaned Data'!JP:JP,"nsp")</f>
        <v>0</v>
      </c>
      <c r="E124" s="115">
        <f>SUM(B124:D124)</f>
        <v>3</v>
      </c>
      <c r="F124" s="10"/>
      <c r="G124" s="10"/>
      <c r="H124" s="10"/>
      <c r="I124" s="10"/>
      <c r="J124" s="10"/>
      <c r="K124" s="10"/>
      <c r="L124" s="10"/>
      <c r="M124" s="10"/>
      <c r="N124" s="10"/>
      <c r="O124" s="10"/>
      <c r="P124" s="10"/>
      <c r="Q124" s="10"/>
      <c r="R124" s="10"/>
    </row>
    <row r="125" spans="1:45" ht="25.5" x14ac:dyDescent="0.3">
      <c r="A125" s="54" t="s">
        <v>2802</v>
      </c>
      <c r="B125" s="7">
        <f>(B124/$E$18)</f>
        <v>0</v>
      </c>
      <c r="C125" s="7">
        <f t="shared" ref="C125:D125" si="21">(C124/$E$18)</f>
        <v>1</v>
      </c>
      <c r="D125" s="7">
        <f t="shared" si="21"/>
        <v>0</v>
      </c>
      <c r="E125" s="116">
        <f>SUM(B125:D125)</f>
        <v>1</v>
      </c>
      <c r="F125" s="10"/>
      <c r="G125" s="10"/>
      <c r="H125" s="10"/>
      <c r="I125" s="10"/>
      <c r="J125" s="10"/>
      <c r="K125" s="10"/>
      <c r="L125" s="10"/>
      <c r="M125" s="10"/>
      <c r="N125" s="10"/>
      <c r="O125" s="10"/>
      <c r="P125" s="10"/>
      <c r="Q125" s="10"/>
      <c r="R125" s="10"/>
    </row>
    <row r="126" spans="1:45" x14ac:dyDescent="0.3">
      <c r="A126" s="10"/>
      <c r="B126" s="10"/>
      <c r="C126" s="10"/>
      <c r="D126" s="10"/>
      <c r="E126" s="10"/>
      <c r="F126" s="10"/>
      <c r="G126" s="10"/>
      <c r="H126" s="10"/>
      <c r="I126" s="10"/>
      <c r="J126" s="10"/>
      <c r="K126" s="10"/>
      <c r="L126" s="10"/>
      <c r="M126" s="10"/>
      <c r="N126" s="10"/>
      <c r="O126" s="10"/>
      <c r="P126" s="10"/>
      <c r="Q126" s="10"/>
      <c r="R126" s="10"/>
    </row>
    <row r="127" spans="1:45" x14ac:dyDescent="0.3">
      <c r="A127" s="10"/>
      <c r="B127" s="18" t="s">
        <v>2818</v>
      </c>
      <c r="C127" s="10"/>
      <c r="D127" s="10"/>
      <c r="E127" s="10"/>
      <c r="F127" s="10"/>
      <c r="G127" s="10"/>
      <c r="H127" s="10"/>
      <c r="I127" s="10"/>
      <c r="J127" s="10"/>
      <c r="K127" s="10"/>
      <c r="L127" s="10"/>
      <c r="M127" s="10"/>
      <c r="N127" s="10"/>
      <c r="O127" s="10"/>
      <c r="P127" s="10"/>
      <c r="Q127" s="10"/>
      <c r="R127" s="10"/>
    </row>
    <row r="128" spans="1:45" s="10" customFormat="1" x14ac:dyDescent="0.3">
      <c r="B128" s="3"/>
      <c r="C128" s="8" t="s">
        <v>2815</v>
      </c>
      <c r="D128" s="8" t="s">
        <v>2816</v>
      </c>
      <c r="E128" s="8" t="s">
        <v>2817</v>
      </c>
      <c r="F128" s="8" t="s">
        <v>1205</v>
      </c>
      <c r="G128" s="114" t="s">
        <v>1206</v>
      </c>
      <c r="AA128" s="1"/>
      <c r="AB128" s="1"/>
      <c r="AC128" s="1"/>
      <c r="AD128" s="1"/>
      <c r="AE128" s="1"/>
      <c r="AF128" s="1"/>
      <c r="AG128" s="1"/>
      <c r="AH128" s="1"/>
      <c r="AI128" s="1"/>
      <c r="AJ128" s="1"/>
      <c r="AK128" s="1"/>
      <c r="AL128" s="1"/>
      <c r="AM128" s="1"/>
      <c r="AN128" s="1"/>
      <c r="AO128" s="1"/>
      <c r="AP128" s="1"/>
      <c r="AQ128" s="1"/>
      <c r="AR128" s="1"/>
      <c r="AS128" s="1"/>
    </row>
    <row r="129" spans="2:45" s="10" customFormat="1" x14ac:dyDescent="0.3">
      <c r="B129" s="24" t="s">
        <v>1207</v>
      </c>
      <c r="C129" s="24">
        <f>COUNTIF('ALINDAO_Cleaned Data'!JQ:JQ,"utilisation")</f>
        <v>0</v>
      </c>
      <c r="D129" s="24">
        <f>COUNTIF('ALINDAO_Cleaned Data'!JQ:JQ,"semaine")</f>
        <v>0</v>
      </c>
      <c r="E129" s="24">
        <f>COUNTIF('ALINDAO_Cleaned Data'!JQ:JQ,"mois")</f>
        <v>0</v>
      </c>
      <c r="F129" s="24">
        <f>COUNTIF('ALINDAO_Cleaned Data'!JQ:JQ,"autre")</f>
        <v>0</v>
      </c>
      <c r="G129" s="115">
        <f>SUM(C129:F129)</f>
        <v>0</v>
      </c>
    </row>
    <row r="130" spans="2:45" s="10" customFormat="1" ht="37" x14ac:dyDescent="0.3">
      <c r="B130" s="89" t="s">
        <v>3267</v>
      </c>
      <c r="C130" s="7" t="e">
        <f>(C129/$B$124)</f>
        <v>#DIV/0!</v>
      </c>
      <c r="D130" s="7" t="e">
        <f t="shared" ref="D130:F130" si="22">(D129/$B$124)</f>
        <v>#DIV/0!</v>
      </c>
      <c r="E130" s="7" t="e">
        <f t="shared" si="22"/>
        <v>#DIV/0!</v>
      </c>
      <c r="F130" s="7" t="e">
        <f t="shared" si="22"/>
        <v>#DIV/0!</v>
      </c>
      <c r="G130" s="116" t="e">
        <f>SUM(C130:F130)</f>
        <v>#DIV/0!</v>
      </c>
      <c r="I130" s="74" t="s">
        <v>3266</v>
      </c>
    </row>
    <row r="131" spans="2:45" s="10" customFormat="1" x14ac:dyDescent="0.3">
      <c r="C131" s="49"/>
      <c r="D131" s="49"/>
      <c r="E131" s="49"/>
      <c r="F131" s="49"/>
    </row>
    <row r="132" spans="2:45" s="10" customFormat="1" x14ac:dyDescent="0.3">
      <c r="B132" s="18" t="s">
        <v>2819</v>
      </c>
      <c r="AA132" s="1"/>
      <c r="AB132" s="1"/>
      <c r="AC132" s="1"/>
      <c r="AD132" s="1"/>
      <c r="AE132" s="1"/>
      <c r="AF132" s="1"/>
      <c r="AG132" s="1"/>
      <c r="AH132" s="1"/>
      <c r="AI132" s="1"/>
      <c r="AJ132" s="1"/>
      <c r="AK132" s="1"/>
      <c r="AL132" s="1"/>
      <c r="AM132" s="1"/>
      <c r="AN132" s="1"/>
      <c r="AO132" s="1"/>
      <c r="AP132" s="1"/>
      <c r="AQ132" s="1"/>
      <c r="AR132" s="1"/>
      <c r="AS132" s="1"/>
    </row>
    <row r="133" spans="2:45" s="10" customFormat="1" x14ac:dyDescent="0.3">
      <c r="B133" s="21" t="e">
        <f>AVERAGE('ALINDAO_Cleaned Data'!JS:JS)</f>
        <v>#DIV/0!</v>
      </c>
      <c r="C133" s="22" t="s">
        <v>1243</v>
      </c>
      <c r="D133" s="21"/>
      <c r="AA133" s="1"/>
      <c r="AB133" s="1"/>
      <c r="AC133" s="1"/>
      <c r="AD133" s="1"/>
      <c r="AE133" s="1"/>
      <c r="AF133" s="1"/>
      <c r="AG133" s="1"/>
      <c r="AH133" s="1"/>
      <c r="AI133" s="1"/>
      <c r="AJ133" s="1"/>
      <c r="AK133" s="1"/>
      <c r="AL133" s="1"/>
      <c r="AM133" s="1"/>
      <c r="AN133" s="1"/>
      <c r="AO133" s="1"/>
      <c r="AP133" s="1"/>
      <c r="AQ133" s="1"/>
      <c r="AR133" s="1"/>
      <c r="AS133" s="1"/>
    </row>
    <row r="134" spans="2:45" s="10" customFormat="1" x14ac:dyDescent="0.3">
      <c r="AA134" s="1"/>
      <c r="AB134" s="1"/>
      <c r="AC134" s="1"/>
      <c r="AD134" s="1"/>
      <c r="AE134" s="1"/>
      <c r="AF134" s="1"/>
      <c r="AG134" s="1"/>
      <c r="AH134" s="1"/>
      <c r="AI134" s="1"/>
      <c r="AJ134" s="1"/>
      <c r="AK134" s="1"/>
      <c r="AL134" s="1"/>
      <c r="AM134" s="1"/>
      <c r="AN134" s="1"/>
      <c r="AO134" s="1"/>
      <c r="AP134" s="1"/>
      <c r="AQ134" s="1"/>
      <c r="AR134" s="1"/>
      <c r="AS134" s="1"/>
    </row>
    <row r="135" spans="2:45" s="10" customFormat="1" x14ac:dyDescent="0.3">
      <c r="B135" s="18" t="s">
        <v>1244</v>
      </c>
      <c r="AA135" s="1"/>
      <c r="AB135" s="1"/>
      <c r="AC135" s="1"/>
      <c r="AD135" s="1"/>
      <c r="AE135" s="1"/>
      <c r="AF135" s="1"/>
      <c r="AG135" s="1"/>
      <c r="AH135" s="1"/>
      <c r="AI135" s="1"/>
      <c r="AJ135" s="1"/>
      <c r="AK135" s="1"/>
      <c r="AL135" s="1"/>
      <c r="AM135" s="1"/>
      <c r="AN135" s="1"/>
      <c r="AO135" s="1"/>
      <c r="AP135" s="1"/>
      <c r="AQ135" s="1"/>
      <c r="AR135" s="1"/>
      <c r="AS135" s="1"/>
    </row>
    <row r="136" spans="2:45" s="10" customFormat="1" x14ac:dyDescent="0.3">
      <c r="B136" s="3"/>
      <c r="C136" s="11" t="s">
        <v>1210</v>
      </c>
      <c r="D136" s="11" t="s">
        <v>1209</v>
      </c>
      <c r="E136" s="11" t="s">
        <v>1231</v>
      </c>
      <c r="F136" s="114" t="s">
        <v>1206</v>
      </c>
      <c r="AA136" s="1"/>
      <c r="AB136" s="1"/>
      <c r="AC136" s="1"/>
      <c r="AD136" s="1"/>
      <c r="AE136" s="1"/>
      <c r="AF136" s="1"/>
      <c r="AG136" s="1"/>
      <c r="AH136" s="1"/>
      <c r="AI136" s="1"/>
      <c r="AJ136" s="1"/>
      <c r="AK136" s="1"/>
      <c r="AL136" s="1"/>
      <c r="AM136" s="1"/>
      <c r="AN136" s="1"/>
      <c r="AO136" s="1"/>
      <c r="AP136" s="1"/>
      <c r="AQ136" s="1"/>
      <c r="AR136" s="1"/>
      <c r="AS136" s="1"/>
    </row>
    <row r="137" spans="2:45" s="10" customFormat="1" x14ac:dyDescent="0.3">
      <c r="B137" s="3" t="s">
        <v>1207</v>
      </c>
      <c r="C137" s="3">
        <f>COUNTIF('ALINDAO_Cleaned Data'!JT:JT,"OUI")</f>
        <v>0</v>
      </c>
      <c r="D137" s="3">
        <f>COUNTIF('ALINDAO_Cleaned Data'!JT:JT,"non")</f>
        <v>0</v>
      </c>
      <c r="E137" s="3">
        <f>COUNTIF('ALINDAO_Cleaned Data'!JT:JT,"nsp")</f>
        <v>0</v>
      </c>
      <c r="F137" s="115">
        <f>SUM(C137:E137)</f>
        <v>0</v>
      </c>
      <c r="AA137" s="1"/>
      <c r="AB137" s="1"/>
      <c r="AC137" s="1"/>
      <c r="AD137" s="1"/>
      <c r="AE137" s="1"/>
      <c r="AF137" s="1"/>
      <c r="AG137" s="1"/>
      <c r="AH137" s="1"/>
      <c r="AI137" s="1"/>
      <c r="AJ137" s="1"/>
      <c r="AK137" s="1"/>
      <c r="AL137" s="1"/>
      <c r="AM137" s="1"/>
      <c r="AN137" s="1"/>
      <c r="AO137" s="1"/>
      <c r="AP137" s="1"/>
      <c r="AQ137" s="1"/>
      <c r="AR137" s="1"/>
      <c r="AS137" s="1"/>
    </row>
    <row r="138" spans="2:45" s="10" customFormat="1" ht="37" x14ac:dyDescent="0.3">
      <c r="B138" s="89" t="s">
        <v>3267</v>
      </c>
      <c r="C138" s="7" t="e">
        <f>(C137/$B$124)</f>
        <v>#DIV/0!</v>
      </c>
      <c r="D138" s="7" t="e">
        <f t="shared" ref="D138:E138" si="23">(D137/$B$124)</f>
        <v>#DIV/0!</v>
      </c>
      <c r="E138" s="7" t="e">
        <f t="shared" si="23"/>
        <v>#DIV/0!</v>
      </c>
      <c r="F138" s="116" t="e">
        <f>SUM(C138:E138)</f>
        <v>#DIV/0!</v>
      </c>
      <c r="K138" s="1"/>
      <c r="AA138" s="1"/>
      <c r="AB138" s="1"/>
      <c r="AC138" s="1"/>
      <c r="AD138" s="1"/>
      <c r="AE138" s="1"/>
      <c r="AF138" s="1"/>
      <c r="AG138" s="1"/>
      <c r="AH138" s="1"/>
      <c r="AI138" s="1"/>
      <c r="AJ138" s="1"/>
      <c r="AK138" s="1"/>
      <c r="AL138" s="1"/>
      <c r="AM138" s="1"/>
      <c r="AN138" s="1"/>
      <c r="AO138" s="1"/>
      <c r="AP138" s="1"/>
      <c r="AQ138" s="1"/>
      <c r="AR138" s="1"/>
      <c r="AS138" s="1"/>
    </row>
    <row r="139" spans="2:45" s="10" customFormat="1" x14ac:dyDescent="0.3">
      <c r="B139" s="14"/>
      <c r="C139" s="15"/>
      <c r="D139" s="15"/>
      <c r="K139" s="1"/>
      <c r="AA139" s="1"/>
      <c r="AB139" s="1"/>
      <c r="AC139" s="1"/>
      <c r="AD139" s="1"/>
      <c r="AE139" s="1"/>
      <c r="AF139" s="1"/>
      <c r="AG139" s="1"/>
      <c r="AH139" s="1"/>
      <c r="AI139" s="1"/>
      <c r="AJ139" s="1"/>
      <c r="AK139" s="1"/>
      <c r="AL139" s="1"/>
      <c r="AM139" s="1"/>
      <c r="AN139" s="1"/>
      <c r="AO139" s="1"/>
      <c r="AP139" s="1"/>
      <c r="AQ139" s="1"/>
      <c r="AR139" s="1"/>
      <c r="AS139" s="1"/>
    </row>
    <row r="140" spans="2:45" s="10" customFormat="1" x14ac:dyDescent="0.3">
      <c r="B140" s="18" t="s">
        <v>1224</v>
      </c>
      <c r="AA140" s="1"/>
      <c r="AB140" s="1"/>
      <c r="AC140" s="1"/>
      <c r="AD140" s="1"/>
      <c r="AE140" s="1"/>
      <c r="AF140" s="1"/>
      <c r="AG140" s="1"/>
      <c r="AH140" s="1"/>
      <c r="AI140" s="1"/>
      <c r="AJ140" s="1"/>
      <c r="AK140" s="1"/>
      <c r="AL140" s="1"/>
      <c r="AM140" s="1"/>
      <c r="AN140" s="1"/>
      <c r="AO140" s="1"/>
      <c r="AP140" s="1"/>
      <c r="AQ140" s="1"/>
      <c r="AR140" s="1"/>
      <c r="AS140" s="1"/>
    </row>
    <row r="141" spans="2:45" s="10" customFormat="1" ht="28" x14ac:dyDescent="0.3">
      <c r="B141" s="3"/>
      <c r="C141" s="12" t="s">
        <v>1226</v>
      </c>
      <c r="D141" s="12" t="s">
        <v>1405</v>
      </c>
      <c r="E141" s="12" t="s">
        <v>1225</v>
      </c>
      <c r="F141" s="12" t="s">
        <v>1404</v>
      </c>
      <c r="G141" s="114" t="s">
        <v>1206</v>
      </c>
      <c r="AA141" s="1"/>
      <c r="AB141" s="1"/>
      <c r="AC141" s="1"/>
      <c r="AD141" s="1"/>
      <c r="AE141" s="1"/>
      <c r="AF141" s="1"/>
      <c r="AG141" s="1"/>
      <c r="AH141" s="1"/>
      <c r="AI141" s="1"/>
      <c r="AJ141" s="1"/>
      <c r="AK141" s="1"/>
      <c r="AL141" s="1"/>
      <c r="AM141" s="1"/>
      <c r="AN141" s="1"/>
      <c r="AO141" s="1"/>
      <c r="AP141" s="1"/>
      <c r="AQ141" s="1"/>
      <c r="AR141" s="1"/>
      <c r="AS141" s="1"/>
    </row>
    <row r="142" spans="2:45" s="10" customFormat="1" x14ac:dyDescent="0.3">
      <c r="B142" s="3" t="s">
        <v>1207</v>
      </c>
      <c r="C142" s="3">
        <f>COUNTIF('ALINDAO_Cleaned Data'!JU:JU,"bcp_diminue")</f>
        <v>0</v>
      </c>
      <c r="D142" s="3">
        <f>COUNTIF('ALINDAO_Cleaned Data'!JU:JU,"peu_diminue")</f>
        <v>0</v>
      </c>
      <c r="E142" s="3">
        <f>COUNTIF('ALINDAO_Cleaned Data'!JU:JU,"bcp_augmente")</f>
        <v>0</v>
      </c>
      <c r="F142" s="3">
        <f>COUNTIF('ALINDAO_Cleaned Data'!JU:JU,"PEU_augmente")</f>
        <v>0</v>
      </c>
      <c r="G142" s="115">
        <f>SUM(C142:F142)</f>
        <v>0</v>
      </c>
      <c r="AA142" s="1"/>
      <c r="AB142" s="1"/>
      <c r="AC142" s="1"/>
      <c r="AD142" s="1"/>
      <c r="AE142" s="1"/>
      <c r="AF142" s="1"/>
      <c r="AG142" s="1"/>
      <c r="AH142" s="1"/>
      <c r="AI142" s="1"/>
      <c r="AJ142" s="1"/>
      <c r="AK142" s="1"/>
      <c r="AL142" s="1"/>
      <c r="AM142" s="1"/>
      <c r="AN142" s="1"/>
      <c r="AO142" s="1"/>
      <c r="AP142" s="1"/>
      <c r="AQ142" s="1"/>
      <c r="AR142" s="1"/>
      <c r="AS142" s="1"/>
    </row>
    <row r="143" spans="2:45" s="10" customFormat="1" ht="37.5" x14ac:dyDescent="0.3">
      <c r="B143" s="53" t="s">
        <v>3270</v>
      </c>
      <c r="C143" s="7" t="e">
        <f>(C142/$C$137)</f>
        <v>#DIV/0!</v>
      </c>
      <c r="D143" s="7" t="e">
        <f>(D142/$C$137)</f>
        <v>#DIV/0!</v>
      </c>
      <c r="E143" s="7" t="e">
        <f>(E142/$C$137)</f>
        <v>#DIV/0!</v>
      </c>
      <c r="F143" s="7" t="e">
        <f>(F142/$C$137)</f>
        <v>#DIV/0!</v>
      </c>
      <c r="G143" s="116" t="e">
        <f>SUM(C143:F143)</f>
        <v>#DIV/0!</v>
      </c>
      <c r="AA143" s="1"/>
      <c r="AB143" s="1"/>
      <c r="AC143" s="1"/>
      <c r="AD143" s="1"/>
      <c r="AE143" s="1"/>
      <c r="AF143" s="1"/>
      <c r="AG143" s="1"/>
      <c r="AH143" s="1"/>
      <c r="AI143" s="1"/>
      <c r="AJ143" s="1"/>
      <c r="AK143" s="1"/>
      <c r="AL143" s="1"/>
      <c r="AM143" s="1"/>
      <c r="AN143" s="1"/>
      <c r="AO143" s="1"/>
      <c r="AP143" s="1"/>
      <c r="AQ143" s="1"/>
      <c r="AR143" s="1"/>
      <c r="AS143" s="1"/>
    </row>
    <row r="144" spans="2:45" s="10" customFormat="1" x14ac:dyDescent="0.3">
      <c r="B144" s="14"/>
      <c r="C144" s="15"/>
      <c r="D144" s="15"/>
      <c r="E144" s="15"/>
      <c r="F144" s="15"/>
    </row>
    <row r="145" spans="1:45" x14ac:dyDescent="0.3">
      <c r="A145" s="10"/>
      <c r="B145" s="18" t="s">
        <v>1227</v>
      </c>
      <c r="C145" s="10"/>
      <c r="D145" s="103" t="s">
        <v>3245</v>
      </c>
      <c r="E145" s="10"/>
      <c r="F145" s="10"/>
      <c r="G145" s="10"/>
      <c r="H145" s="10"/>
      <c r="I145" s="10"/>
      <c r="J145" s="10"/>
      <c r="K145" s="10"/>
      <c r="L145" s="10"/>
      <c r="M145" s="10"/>
      <c r="N145" s="10"/>
      <c r="O145" s="10"/>
      <c r="P145" s="10"/>
      <c r="Q145" s="10"/>
      <c r="R145" s="10"/>
    </row>
    <row r="146" spans="1:45" s="13" customFormat="1" ht="57" customHeight="1" x14ac:dyDescent="0.3">
      <c r="A146" s="20"/>
      <c r="B146" s="3"/>
      <c r="C146" s="12" t="s">
        <v>2820</v>
      </c>
      <c r="D146" s="12" t="s">
        <v>2821</v>
      </c>
      <c r="E146" s="12" t="s">
        <v>2822</v>
      </c>
      <c r="F146" s="12" t="s">
        <v>2823</v>
      </c>
      <c r="G146" s="12" t="s">
        <v>1905</v>
      </c>
      <c r="H146" s="12" t="s">
        <v>1220</v>
      </c>
      <c r="I146" s="20"/>
      <c r="J146" s="20"/>
      <c r="K146" s="20"/>
      <c r="L146" s="20"/>
      <c r="M146" s="20"/>
      <c r="N146" s="20"/>
      <c r="O146" s="20"/>
      <c r="P146" s="20"/>
      <c r="Q146" s="20"/>
      <c r="R146" s="20"/>
      <c r="S146" s="20"/>
      <c r="T146" s="20"/>
      <c r="U146" s="20"/>
      <c r="V146" s="20"/>
      <c r="W146" s="20"/>
      <c r="X146" s="20"/>
      <c r="Y146" s="20"/>
      <c r="Z146" s="20"/>
    </row>
    <row r="147" spans="1:45" x14ac:dyDescent="0.3">
      <c r="A147" s="10"/>
      <c r="B147" s="3" t="s">
        <v>1207</v>
      </c>
      <c r="C147" s="3">
        <f>COUNTIF('ALINDAO_Cleaned Data'!JV:JV,"1")</f>
        <v>0</v>
      </c>
      <c r="D147" s="3">
        <f>COUNTIF('ALINDAO_Cleaned Data'!JW:JW,"1")</f>
        <v>0</v>
      </c>
      <c r="E147" s="3">
        <f>COUNTIF('ALINDAO_Cleaned Data'!JX:JX,"1")</f>
        <v>0</v>
      </c>
      <c r="F147" s="3">
        <f>COUNTIF('ALINDAO_Cleaned Data'!JY:JY,"1")</f>
        <v>0</v>
      </c>
      <c r="G147" s="3">
        <f>COUNTIF('ALINDAO_Cleaned Data'!JZ:JZ,"1")</f>
        <v>0</v>
      </c>
      <c r="H147" s="3">
        <f>COUNTIF('ALINDAO_Cleaned Data'!KA:KA,"1")</f>
        <v>0</v>
      </c>
      <c r="I147" s="20"/>
      <c r="J147" s="20"/>
      <c r="K147" s="10"/>
      <c r="L147" s="10"/>
      <c r="M147" s="10"/>
      <c r="N147" s="10"/>
      <c r="O147" s="10"/>
      <c r="P147" s="10"/>
      <c r="Q147" s="10"/>
      <c r="R147" s="10"/>
    </row>
    <row r="148" spans="1:45" ht="37.5" x14ac:dyDescent="0.3">
      <c r="A148" s="10"/>
      <c r="B148" s="53" t="s">
        <v>3268</v>
      </c>
      <c r="C148" s="7" t="e">
        <f>C147/($E$142+$F$142)</f>
        <v>#DIV/0!</v>
      </c>
      <c r="D148" s="7" t="e">
        <f t="shared" ref="D148:H148" si="24">D147/($E$142+$F$142)</f>
        <v>#DIV/0!</v>
      </c>
      <c r="E148" s="7" t="e">
        <f t="shared" si="24"/>
        <v>#DIV/0!</v>
      </c>
      <c r="F148" s="7" t="e">
        <f t="shared" si="24"/>
        <v>#DIV/0!</v>
      </c>
      <c r="G148" s="7" t="e">
        <f t="shared" si="24"/>
        <v>#DIV/0!</v>
      </c>
      <c r="H148" s="7" t="e">
        <f t="shared" si="24"/>
        <v>#DIV/0!</v>
      </c>
      <c r="I148" s="20"/>
      <c r="J148" s="20"/>
      <c r="K148" s="10"/>
      <c r="L148" s="10"/>
      <c r="M148" s="10"/>
      <c r="N148" s="10"/>
      <c r="O148" s="10"/>
      <c r="P148" s="10"/>
      <c r="Q148" s="10"/>
      <c r="R148" s="10"/>
    </row>
    <row r="149" spans="1:45" s="10" customFormat="1" x14ac:dyDescent="0.3">
      <c r="B149" s="15"/>
      <c r="C149" s="15"/>
      <c r="D149" s="15"/>
      <c r="E149" s="15"/>
      <c r="F149" s="15"/>
      <c r="G149" s="15"/>
      <c r="H149" s="15"/>
      <c r="I149" s="15"/>
    </row>
    <row r="150" spans="1:45" x14ac:dyDescent="0.3">
      <c r="A150" s="10"/>
      <c r="B150" s="18" t="s">
        <v>1310</v>
      </c>
      <c r="C150" s="10"/>
      <c r="D150" s="103" t="s">
        <v>3245</v>
      </c>
      <c r="E150" s="10"/>
      <c r="F150" s="10"/>
      <c r="G150" s="10"/>
      <c r="H150" s="10"/>
      <c r="I150" s="10"/>
      <c r="J150" s="10"/>
      <c r="K150" s="10"/>
      <c r="L150" s="10"/>
      <c r="M150" s="10"/>
      <c r="N150" s="10"/>
      <c r="O150" s="10"/>
      <c r="P150" s="10"/>
      <c r="Q150" s="10"/>
      <c r="R150" s="10"/>
    </row>
    <row r="151" spans="1:45" s="13" customFormat="1" ht="57" customHeight="1" x14ac:dyDescent="0.3">
      <c r="A151" s="20"/>
      <c r="B151" s="3"/>
      <c r="C151" s="12" t="s">
        <v>2820</v>
      </c>
      <c r="D151" s="12" t="s">
        <v>2821</v>
      </c>
      <c r="E151" s="12" t="s">
        <v>2822</v>
      </c>
      <c r="F151" s="12" t="s">
        <v>2823</v>
      </c>
      <c r="G151" s="12" t="s">
        <v>1905</v>
      </c>
      <c r="H151" s="12" t="s">
        <v>1205</v>
      </c>
      <c r="I151" s="20"/>
      <c r="J151" s="20"/>
      <c r="K151" s="20"/>
      <c r="L151" s="20"/>
      <c r="M151" s="20"/>
      <c r="N151" s="20"/>
      <c r="O151" s="20"/>
      <c r="P151" s="20"/>
      <c r="Q151" s="20"/>
      <c r="R151" s="20"/>
      <c r="S151" s="20"/>
      <c r="T151" s="20"/>
      <c r="U151" s="20"/>
      <c r="V151" s="20"/>
      <c r="W151" s="20"/>
      <c r="X151" s="20"/>
      <c r="Y151" s="20"/>
      <c r="Z151" s="20"/>
    </row>
    <row r="152" spans="1:45" x14ac:dyDescent="0.3">
      <c r="A152" s="10"/>
      <c r="B152" s="3" t="s">
        <v>1207</v>
      </c>
      <c r="C152" s="3">
        <f>COUNTIF('ALINDAO_Cleaned Data'!KE:KE,"1")</f>
        <v>0</v>
      </c>
      <c r="D152" s="3">
        <f>COUNTIF('ALINDAO_Cleaned Data'!KF:KF,"1")</f>
        <v>0</v>
      </c>
      <c r="E152" s="3">
        <f>COUNTIF('ALINDAO_Cleaned Data'!KG:KG,"1")</f>
        <v>0</v>
      </c>
      <c r="F152" s="3">
        <f>COUNTIF('ALINDAO_Cleaned Data'!KH:KH,"1")</f>
        <v>0</v>
      </c>
      <c r="G152" s="3">
        <f>COUNTIF('ALINDAO_Cleaned Data'!KI:KI,"1")</f>
        <v>0</v>
      </c>
      <c r="H152" s="3">
        <f>COUNTIF('ALINDAO_Cleaned Data'!KJ:KJ,"1")</f>
        <v>0</v>
      </c>
      <c r="I152" s="20"/>
      <c r="J152" s="10"/>
      <c r="K152" s="10"/>
      <c r="L152" s="10"/>
      <c r="M152" s="10"/>
      <c r="N152" s="10"/>
      <c r="O152" s="10"/>
      <c r="P152" s="10"/>
      <c r="Q152" s="10"/>
      <c r="R152" s="10"/>
    </row>
    <row r="153" spans="1:45" ht="37.5" x14ac:dyDescent="0.3">
      <c r="A153" s="10"/>
      <c r="B153" s="53" t="s">
        <v>3269</v>
      </c>
      <c r="C153" s="7" t="e">
        <f>C152/($C$142+$D$142)</f>
        <v>#DIV/0!</v>
      </c>
      <c r="D153" s="7" t="e">
        <f t="shared" ref="D153:H153" si="25">D152/($C$142+$D$142)</f>
        <v>#DIV/0!</v>
      </c>
      <c r="E153" s="7" t="e">
        <f t="shared" si="25"/>
        <v>#DIV/0!</v>
      </c>
      <c r="F153" s="7" t="e">
        <f t="shared" si="25"/>
        <v>#DIV/0!</v>
      </c>
      <c r="G153" s="7" t="e">
        <f t="shared" si="25"/>
        <v>#DIV/0!</v>
      </c>
      <c r="H153" s="7" t="e">
        <f t="shared" si="25"/>
        <v>#DIV/0!</v>
      </c>
      <c r="I153" s="20"/>
      <c r="J153" s="10"/>
      <c r="K153" s="10"/>
      <c r="L153" s="10"/>
      <c r="M153" s="10"/>
      <c r="N153" s="10"/>
      <c r="O153" s="10"/>
      <c r="P153" s="10"/>
      <c r="Q153" s="10"/>
      <c r="R153" s="10"/>
    </row>
    <row r="154" spans="1:45" s="10" customFormat="1" x14ac:dyDescent="0.3">
      <c r="AA154" s="1"/>
      <c r="AB154" s="1"/>
      <c r="AC154" s="1"/>
      <c r="AD154" s="1"/>
      <c r="AE154" s="1"/>
      <c r="AF154" s="1"/>
      <c r="AG154" s="1"/>
      <c r="AH154" s="1"/>
      <c r="AI154" s="1"/>
      <c r="AJ154" s="1"/>
      <c r="AK154" s="1"/>
      <c r="AL154" s="1"/>
      <c r="AM154" s="1"/>
      <c r="AN154" s="1"/>
      <c r="AO154" s="1"/>
      <c r="AP154" s="1"/>
      <c r="AQ154" s="1"/>
      <c r="AR154" s="1"/>
      <c r="AS154" s="1"/>
    </row>
    <row r="155" spans="1:45" ht="15.5" x14ac:dyDescent="0.35">
      <c r="A155" s="29" t="s">
        <v>1901</v>
      </c>
      <c r="B155" s="14"/>
      <c r="C155" s="16"/>
      <c r="D155" s="16"/>
      <c r="E155" s="14"/>
      <c r="F155" s="16"/>
      <c r="G155" s="16"/>
      <c r="H155" s="10"/>
      <c r="I155" s="10"/>
      <c r="J155" s="10"/>
      <c r="K155" s="10"/>
      <c r="L155" s="10"/>
      <c r="M155" s="10"/>
      <c r="N155" s="10"/>
      <c r="O155" s="10"/>
      <c r="P155" s="10"/>
      <c r="Q155" s="10"/>
      <c r="R155" s="10"/>
    </row>
    <row r="156" spans="1:45" s="56" customFormat="1" ht="42" x14ac:dyDescent="0.35">
      <c r="A156" s="43"/>
      <c r="B156" s="35" t="s">
        <v>1902</v>
      </c>
      <c r="C156" s="35" t="s">
        <v>1898</v>
      </c>
      <c r="D156" s="35" t="s">
        <v>1899</v>
      </c>
      <c r="E156" s="35" t="s">
        <v>1896</v>
      </c>
      <c r="F156" s="35" t="s">
        <v>1903</v>
      </c>
      <c r="G156" s="35" t="s">
        <v>1900</v>
      </c>
      <c r="H156" s="35" t="s">
        <v>1905</v>
      </c>
      <c r="I156" s="35" t="s">
        <v>1205</v>
      </c>
      <c r="J156" s="114" t="s">
        <v>1206</v>
      </c>
      <c r="K156" s="36"/>
      <c r="L156" s="36"/>
      <c r="M156" s="36"/>
      <c r="N156" s="36"/>
      <c r="O156" s="36"/>
      <c r="P156" s="36"/>
      <c r="Q156" s="36"/>
      <c r="R156" s="36"/>
      <c r="S156" s="36"/>
      <c r="T156" s="36"/>
      <c r="U156" s="36"/>
      <c r="V156" s="36"/>
      <c r="W156" s="36"/>
      <c r="X156" s="36"/>
      <c r="Y156" s="36"/>
      <c r="Z156" s="36"/>
    </row>
    <row r="157" spans="1:45" x14ac:dyDescent="0.3">
      <c r="A157" s="3" t="s">
        <v>1207</v>
      </c>
      <c r="B157" s="3">
        <f>COUNTIF('ALINDAO_Cleaned Data'!KM:KM,"1")</f>
        <v>0</v>
      </c>
      <c r="C157" s="3">
        <f>COUNTIF('ALINDAO_Cleaned Data'!KN:KN,"1")</f>
        <v>0</v>
      </c>
      <c r="D157" s="3">
        <f>COUNTIF('ALINDAO_Cleaned Data'!KO:KO,"1")</f>
        <v>0</v>
      </c>
      <c r="E157" s="3">
        <f>COUNTIF('ALINDAO_Cleaned Data'!KP:KP,"1")</f>
        <v>0</v>
      </c>
      <c r="F157" s="3">
        <f>COUNTIF('ALINDAO_Cleaned Data'!KQ:KQ,"1")</f>
        <v>0</v>
      </c>
      <c r="G157" s="3">
        <f>COUNTIF('ALINDAO_Cleaned Data'!KR:KR,"1")</f>
        <v>0</v>
      </c>
      <c r="H157" s="3">
        <f>COUNTIF('ALINDAO_Cleaned Data'!KS:KS,"1")</f>
        <v>0</v>
      </c>
      <c r="I157" s="3">
        <f>COUNTIF('ALINDAO_Cleaned Data'!KT:KT,"1")</f>
        <v>0</v>
      </c>
      <c r="J157" s="115">
        <f>SUM(B157:I157)</f>
        <v>0</v>
      </c>
      <c r="K157" s="10"/>
      <c r="L157" s="10"/>
      <c r="M157" s="10"/>
      <c r="N157" s="10"/>
      <c r="O157" s="10"/>
      <c r="P157" s="10"/>
      <c r="Q157" s="10"/>
      <c r="R157" s="10"/>
    </row>
    <row r="158" spans="1:45" ht="26" x14ac:dyDescent="0.3">
      <c r="A158" s="53" t="s">
        <v>2824</v>
      </c>
      <c r="B158" s="7" t="e">
        <f>B157/$B$124</f>
        <v>#DIV/0!</v>
      </c>
      <c r="C158" s="7" t="e">
        <f t="shared" ref="C158:I158" si="26">C157/$B$124</f>
        <v>#DIV/0!</v>
      </c>
      <c r="D158" s="7" t="e">
        <f t="shared" si="26"/>
        <v>#DIV/0!</v>
      </c>
      <c r="E158" s="7" t="e">
        <f t="shared" si="26"/>
        <v>#DIV/0!</v>
      </c>
      <c r="F158" s="7" t="e">
        <f t="shared" si="26"/>
        <v>#DIV/0!</v>
      </c>
      <c r="G158" s="7" t="e">
        <f t="shared" si="26"/>
        <v>#DIV/0!</v>
      </c>
      <c r="H158" s="7" t="e">
        <f t="shared" si="26"/>
        <v>#DIV/0!</v>
      </c>
      <c r="I158" s="7" t="e">
        <f t="shared" si="26"/>
        <v>#DIV/0!</v>
      </c>
      <c r="J158" s="116" t="e">
        <f>SUM(B158:I158)</f>
        <v>#DIV/0!</v>
      </c>
      <c r="K158" s="10"/>
      <c r="L158" s="10"/>
      <c r="M158" s="10"/>
      <c r="N158" s="10"/>
      <c r="O158" s="10"/>
      <c r="P158" s="10"/>
      <c r="Q158" s="10"/>
      <c r="R158" s="10"/>
    </row>
    <row r="159" spans="1:45" s="10" customFormat="1" x14ac:dyDescent="0.3">
      <c r="A159" s="14"/>
      <c r="B159" s="15"/>
      <c r="C159" s="15"/>
      <c r="D159" s="15"/>
      <c r="E159" s="15"/>
      <c r="F159" s="15"/>
      <c r="G159" s="15"/>
      <c r="H159" s="15"/>
      <c r="I159" s="15"/>
    </row>
    <row r="160" spans="1:45" ht="15.5" x14ac:dyDescent="0.35">
      <c r="A160" s="59" t="s">
        <v>1904</v>
      </c>
      <c r="B160" s="15"/>
      <c r="C160" s="15"/>
      <c r="D160" s="15"/>
      <c r="E160" s="15"/>
      <c r="F160" s="15"/>
      <c r="G160" s="15"/>
      <c r="H160" s="15"/>
      <c r="I160" s="15"/>
      <c r="J160" s="10"/>
      <c r="K160" s="10"/>
      <c r="L160" s="10"/>
      <c r="M160" s="10"/>
      <c r="N160" s="10"/>
      <c r="O160" s="10"/>
      <c r="P160" s="10"/>
      <c r="Q160" s="10"/>
      <c r="R160" s="10"/>
    </row>
    <row r="161" spans="1:26" x14ac:dyDescent="0.3">
      <c r="A161" s="3"/>
      <c r="B161" s="8" t="s">
        <v>1210</v>
      </c>
      <c r="C161" s="8" t="s">
        <v>1209</v>
      </c>
      <c r="D161" s="35" t="s">
        <v>1905</v>
      </c>
      <c r="E161" s="114" t="s">
        <v>1206</v>
      </c>
      <c r="F161" s="10"/>
      <c r="G161" s="10"/>
      <c r="H161" s="10"/>
      <c r="I161" s="10"/>
      <c r="J161" s="10"/>
      <c r="K161" s="10"/>
      <c r="L161" s="10"/>
      <c r="M161" s="10"/>
      <c r="N161" s="10"/>
      <c r="O161" s="10"/>
      <c r="P161" s="10"/>
      <c r="Q161" s="10"/>
      <c r="R161" s="10"/>
    </row>
    <row r="162" spans="1:26" x14ac:dyDescent="0.3">
      <c r="A162" s="3" t="s">
        <v>1207</v>
      </c>
      <c r="B162" s="3">
        <f>COUNTIF('ALINDAO_Cleaned Data'!KV:KV,"OUI")</f>
        <v>0</v>
      </c>
      <c r="C162" s="3">
        <f>COUNTIF('ALINDAO_Cleaned Data'!KV:KV,"non")</f>
        <v>0</v>
      </c>
      <c r="D162" s="3">
        <f>COUNTIF('ALINDAO_Cleaned Data'!KV:KV,"nsp")</f>
        <v>0</v>
      </c>
      <c r="E162" s="115">
        <f>SUM(B162:D162)</f>
        <v>0</v>
      </c>
      <c r="F162" s="10"/>
      <c r="G162" s="10"/>
      <c r="H162" s="10"/>
      <c r="I162" s="10"/>
      <c r="J162" s="10"/>
      <c r="K162" s="10"/>
      <c r="L162" s="10"/>
      <c r="M162" s="10"/>
      <c r="N162" s="10"/>
      <c r="O162" s="10"/>
      <c r="P162" s="10"/>
      <c r="Q162" s="10"/>
      <c r="R162" s="10"/>
    </row>
    <row r="163" spans="1:26" ht="26" x14ac:dyDescent="0.3">
      <c r="A163" s="53" t="s">
        <v>2824</v>
      </c>
      <c r="B163" s="7" t="e">
        <f>(B162/$B$124)</f>
        <v>#DIV/0!</v>
      </c>
      <c r="C163" s="7" t="e">
        <f>(C162/$B$124)</f>
        <v>#DIV/0!</v>
      </c>
      <c r="D163" s="7" t="e">
        <f>(D162/$B$124)</f>
        <v>#DIV/0!</v>
      </c>
      <c r="E163" s="116" t="e">
        <f>SUM(B163:D163)</f>
        <v>#DIV/0!</v>
      </c>
      <c r="F163" s="10"/>
      <c r="G163" s="10"/>
      <c r="H163" s="10"/>
      <c r="I163" s="10"/>
      <c r="J163" s="10"/>
      <c r="K163" s="10"/>
      <c r="L163" s="10"/>
      <c r="M163" s="10"/>
      <c r="N163" s="10"/>
      <c r="O163" s="10"/>
      <c r="P163" s="10"/>
      <c r="Q163" s="10"/>
      <c r="R163" s="10"/>
    </row>
    <row r="164" spans="1:26" x14ac:dyDescent="0.3">
      <c r="A164" s="10"/>
      <c r="B164" s="10"/>
      <c r="C164" s="10"/>
      <c r="D164" s="10"/>
      <c r="E164" s="10"/>
      <c r="F164" s="10"/>
      <c r="G164" s="10"/>
      <c r="H164" s="10"/>
      <c r="I164" s="10"/>
      <c r="J164" s="10"/>
      <c r="K164" s="10"/>
      <c r="L164" s="10"/>
      <c r="M164" s="10"/>
      <c r="N164" s="10"/>
      <c r="O164" s="10"/>
      <c r="P164" s="10"/>
      <c r="Q164" s="10"/>
      <c r="R164" s="10"/>
    </row>
    <row r="165" spans="1:26" s="10" customFormat="1" ht="15.5" x14ac:dyDescent="0.35">
      <c r="A165" s="29" t="s">
        <v>1298</v>
      </c>
      <c r="C165" s="103" t="s">
        <v>3245</v>
      </c>
    </row>
    <row r="166" spans="1:26" ht="14.5" x14ac:dyDescent="0.35">
      <c r="A166" s="3"/>
      <c r="B166" s="8" t="s">
        <v>1250</v>
      </c>
      <c r="C166" s="8" t="s">
        <v>1251</v>
      </c>
      <c r="D166" s="35" t="s">
        <v>1905</v>
      </c>
      <c r="E166" s="8" t="s">
        <v>1205</v>
      </c>
      <c r="F166" s="8" t="s">
        <v>1252</v>
      </c>
      <c r="G166" s="23"/>
      <c r="H166" s="10"/>
      <c r="I166" s="10"/>
      <c r="J166" s="10"/>
      <c r="K166" s="10"/>
      <c r="L166" s="10"/>
      <c r="M166" s="10"/>
      <c r="N166" s="10"/>
      <c r="O166" s="10"/>
      <c r="P166" s="10"/>
      <c r="Q166" s="10"/>
      <c r="R166" s="10"/>
    </row>
    <row r="167" spans="1:26" ht="14.5" x14ac:dyDescent="0.35">
      <c r="A167" s="3" t="s">
        <v>1207</v>
      </c>
      <c r="B167" s="3">
        <f>COUNTIF('ALINDAO_Cleaned Data'!LE:LE,"1")</f>
        <v>0</v>
      </c>
      <c r="C167" s="3">
        <f>COUNTIF('ALINDAO_Cleaned Data'!LF:LF,"1")</f>
        <v>0</v>
      </c>
      <c r="D167" s="3">
        <f>COUNTIF('ALINDAO_Cleaned Data'!LG:LG,"1")</f>
        <v>1</v>
      </c>
      <c r="E167" s="3">
        <f>COUNTIF('ALINDAO_Cleaned Data'!LH:LH,"1")</f>
        <v>0</v>
      </c>
      <c r="F167" s="3">
        <f>COUNTIF('ALINDAO_Cleaned Data'!LI:LI,"1")</f>
        <v>2</v>
      </c>
      <c r="G167"/>
      <c r="H167" s="10"/>
      <c r="I167" s="10"/>
      <c r="J167" s="10"/>
      <c r="K167" s="10"/>
      <c r="L167" s="10"/>
      <c r="M167" s="10"/>
      <c r="N167" s="10"/>
      <c r="O167" s="10"/>
      <c r="P167" s="10"/>
      <c r="Q167" s="10"/>
      <c r="R167" s="10"/>
    </row>
    <row r="168" spans="1:26" ht="26" x14ac:dyDescent="0.3">
      <c r="A168" s="53" t="s">
        <v>3257</v>
      </c>
      <c r="B168" s="7">
        <f>(B167/$B$3)</f>
        <v>0</v>
      </c>
      <c r="C168" s="7">
        <f t="shared" ref="C168:F168" si="27">(C167/$B$3)</f>
        <v>0</v>
      </c>
      <c r="D168" s="7">
        <f t="shared" si="27"/>
        <v>0.33333333333333331</v>
      </c>
      <c r="E168" s="7">
        <f t="shared" si="27"/>
        <v>0</v>
      </c>
      <c r="F168" s="7">
        <f t="shared" si="27"/>
        <v>0.66666666666666663</v>
      </c>
      <c r="G168" s="10"/>
      <c r="H168" s="10"/>
      <c r="I168" s="10"/>
      <c r="J168" s="10"/>
      <c r="K168" s="10"/>
      <c r="L168" s="10"/>
      <c r="M168" s="10"/>
      <c r="N168" s="10"/>
      <c r="O168" s="10"/>
      <c r="P168" s="10"/>
      <c r="Q168" s="10"/>
      <c r="R168" s="10"/>
    </row>
    <row r="169" spans="1:26" x14ac:dyDescent="0.3">
      <c r="A169" s="10"/>
      <c r="B169" s="10"/>
      <c r="C169" s="10"/>
      <c r="D169" s="10"/>
      <c r="E169" s="10"/>
      <c r="F169" s="10"/>
      <c r="G169" s="10"/>
      <c r="H169" s="10"/>
      <c r="I169" s="10"/>
      <c r="J169" s="10"/>
      <c r="K169" s="10"/>
      <c r="L169" s="10"/>
      <c r="M169" s="10"/>
      <c r="N169" s="10"/>
      <c r="O169" s="10"/>
      <c r="P169" s="10"/>
      <c r="Q169" s="10"/>
      <c r="R169" s="10"/>
    </row>
    <row r="170" spans="1:26" ht="15.5" x14ac:dyDescent="0.35">
      <c r="A170" s="29" t="s">
        <v>1299</v>
      </c>
      <c r="B170" s="10"/>
      <c r="C170" s="103" t="s">
        <v>3245</v>
      </c>
      <c r="D170" s="10"/>
      <c r="E170" s="10"/>
      <c r="F170" s="10"/>
      <c r="G170" s="10"/>
      <c r="H170" s="10"/>
      <c r="I170" s="10"/>
      <c r="J170" s="10"/>
      <c r="K170" s="10"/>
      <c r="L170" s="10"/>
      <c r="M170" s="10"/>
      <c r="N170" s="10"/>
      <c r="O170" s="10"/>
      <c r="P170" s="10"/>
      <c r="Q170" s="10"/>
      <c r="R170" s="10"/>
    </row>
    <row r="171" spans="1:26" s="56" customFormat="1" ht="56" x14ac:dyDescent="0.35">
      <c r="A171" s="35" t="s">
        <v>1253</v>
      </c>
      <c r="B171" s="35" t="s">
        <v>1906</v>
      </c>
      <c r="C171" s="35" t="s">
        <v>1907</v>
      </c>
      <c r="D171" s="35" t="s">
        <v>1481</v>
      </c>
      <c r="E171" s="35" t="s">
        <v>1254</v>
      </c>
      <c r="F171" s="35" t="s">
        <v>1255</v>
      </c>
      <c r="G171" s="35" t="s">
        <v>1908</v>
      </c>
      <c r="H171" s="35" t="s">
        <v>1909</v>
      </c>
      <c r="I171" s="35" t="s">
        <v>1910</v>
      </c>
      <c r="J171" s="35" t="s">
        <v>1911</v>
      </c>
      <c r="K171" s="35" t="s">
        <v>1905</v>
      </c>
      <c r="L171" s="35" t="s">
        <v>1205</v>
      </c>
      <c r="M171" s="61"/>
      <c r="N171" s="61"/>
      <c r="O171" s="36"/>
      <c r="P171" s="36"/>
      <c r="Q171" s="36"/>
      <c r="R171" s="36"/>
      <c r="S171" s="36"/>
      <c r="T171" s="36"/>
      <c r="U171" s="36"/>
      <c r="V171" s="36"/>
      <c r="W171" s="36"/>
      <c r="X171" s="36"/>
      <c r="Y171" s="36"/>
      <c r="Z171" s="36"/>
    </row>
    <row r="172" spans="1:26" ht="14.5" x14ac:dyDescent="0.3">
      <c r="A172" s="3">
        <f>COUNTIF('ALINDAO_Cleaned Data'!LL:LL,"1")</f>
        <v>0</v>
      </c>
      <c r="B172" s="3">
        <f>COUNTIF('ALINDAO_Cleaned Data'!LM:LM,"1")</f>
        <v>0</v>
      </c>
      <c r="C172" s="3">
        <f>COUNTIF('ALINDAO_Cleaned Data'!LN:LN,"1")</f>
        <v>1</v>
      </c>
      <c r="D172" s="3">
        <f>COUNTIF('ALINDAO_Cleaned Data'!LO:LO,"1")</f>
        <v>0</v>
      </c>
      <c r="E172" s="3">
        <f>COUNTIF('ALINDAO_Cleaned Data'!LP:LP,"1")</f>
        <v>0</v>
      </c>
      <c r="F172" s="3">
        <f>COUNTIF('ALINDAO_Cleaned Data'!LQ:LQ,"1")</f>
        <v>0</v>
      </c>
      <c r="G172" s="3">
        <f>COUNTIF('ALINDAO_Cleaned Data'!LX:LX,"1")</f>
        <v>1</v>
      </c>
      <c r="H172" s="3">
        <f>COUNTIF('ALINDAO_Cleaned Data'!LS:LS,"1")</f>
        <v>0</v>
      </c>
      <c r="I172" s="3">
        <f>COUNTIF('ALINDAO_Cleaned Data'!LT:LT,"1")</f>
        <v>0</v>
      </c>
      <c r="J172" s="3">
        <f>COUNTIF('ALINDAO_Cleaned Data'!LU:LU,"1")</f>
        <v>2</v>
      </c>
      <c r="K172" s="3">
        <f>COUNTIF('ALINDAO_Cleaned Data'!LV:LV,"1")</f>
        <v>0</v>
      </c>
      <c r="L172" s="3">
        <f>COUNTIF('ALINDAO_Cleaned Data'!LW:LW,"1")</f>
        <v>0</v>
      </c>
      <c r="M172" s="61"/>
      <c r="N172" s="10"/>
      <c r="O172" s="10"/>
      <c r="P172" s="10"/>
      <c r="Q172" s="10"/>
      <c r="R172" s="10"/>
    </row>
    <row r="173" spans="1:26" ht="14.5" x14ac:dyDescent="0.3">
      <c r="A173" s="10"/>
      <c r="B173" s="10"/>
      <c r="C173" s="10"/>
      <c r="D173" s="10"/>
      <c r="E173" s="10"/>
      <c r="F173" s="10"/>
      <c r="G173" s="10"/>
      <c r="H173" s="10"/>
      <c r="I173" s="10"/>
      <c r="J173" s="10"/>
      <c r="K173" s="10"/>
      <c r="L173" s="10"/>
      <c r="M173" s="61"/>
      <c r="N173" s="10"/>
      <c r="O173" s="10"/>
      <c r="P173" s="10"/>
      <c r="Q173" s="10"/>
      <c r="R173" s="10"/>
    </row>
    <row r="174" spans="1:26" ht="15.5" x14ac:dyDescent="0.35">
      <c r="A174" s="29" t="s">
        <v>1300</v>
      </c>
      <c r="B174" s="10"/>
      <c r="C174" s="103" t="s">
        <v>3245</v>
      </c>
      <c r="D174" s="10"/>
      <c r="E174" s="10"/>
      <c r="F174" s="10"/>
      <c r="G174" s="10"/>
      <c r="H174" s="10"/>
      <c r="I174" s="10"/>
      <c r="J174" s="10"/>
      <c r="K174" s="10"/>
      <c r="L174" s="10"/>
      <c r="M174" s="61"/>
      <c r="N174" s="10"/>
      <c r="O174" s="10"/>
      <c r="P174" s="10"/>
      <c r="Q174" s="10"/>
      <c r="R174" s="10"/>
    </row>
    <row r="175" spans="1:26" ht="42" x14ac:dyDescent="0.3">
      <c r="A175" s="35" t="s">
        <v>1912</v>
      </c>
      <c r="B175" s="35" t="s">
        <v>1896</v>
      </c>
      <c r="C175" s="35" t="s">
        <v>1913</v>
      </c>
      <c r="D175" s="35" t="s">
        <v>1914</v>
      </c>
      <c r="E175" s="35" t="s">
        <v>1915</v>
      </c>
      <c r="F175" s="35" t="s">
        <v>1916</v>
      </c>
      <c r="G175" s="35" t="s">
        <v>1917</v>
      </c>
      <c r="H175" s="35" t="s">
        <v>1918</v>
      </c>
      <c r="I175" s="35" t="s">
        <v>1919</v>
      </c>
      <c r="J175" s="35" t="s">
        <v>1252</v>
      </c>
      <c r="K175" s="35" t="s">
        <v>1905</v>
      </c>
      <c r="L175" s="35" t="s">
        <v>1205</v>
      </c>
      <c r="M175" s="61"/>
      <c r="N175" s="10"/>
      <c r="O175" s="10"/>
      <c r="P175" s="10"/>
      <c r="Q175" s="10"/>
      <c r="R175" s="10"/>
    </row>
    <row r="176" spans="1:26" ht="14.5" x14ac:dyDescent="0.3">
      <c r="A176" s="24">
        <f>COUNTIF('ALINDAO_Cleaned Data'!MA:MA,"1")</f>
        <v>0</v>
      </c>
      <c r="B176" s="24">
        <f>COUNTIF('ALINDAO_Cleaned Data'!MB:MB,"1")</f>
        <v>0</v>
      </c>
      <c r="C176" s="24">
        <f>COUNTIF('ALINDAO_Cleaned Data'!MC:MC,"1")</f>
        <v>0</v>
      </c>
      <c r="D176" s="24">
        <f>COUNTIF('ALINDAO_Cleaned Data'!MD:MD,"1")</f>
        <v>1</v>
      </c>
      <c r="E176" s="24">
        <f>COUNTIF('ALINDAO_Cleaned Data'!ME:ME,"1")</f>
        <v>2</v>
      </c>
      <c r="F176" s="24">
        <f>COUNTIF('ALINDAO_Cleaned Data'!MF:MF,"1")</f>
        <v>1</v>
      </c>
      <c r="G176" s="24">
        <f>COUNTIF('ALINDAO_Cleaned Data'!MG:MG,"1")</f>
        <v>1</v>
      </c>
      <c r="H176" s="24">
        <f>COUNTIF('ALINDAO_Cleaned Data'!MH:MH,"1")</f>
        <v>1</v>
      </c>
      <c r="I176" s="24">
        <f>COUNTIF('ALINDAO_Cleaned Data'!MI:MI,"1")</f>
        <v>0</v>
      </c>
      <c r="J176" s="24">
        <f>COUNTIF('ALINDAO_Cleaned Data'!MJ:MJ,"1")</f>
        <v>0</v>
      </c>
      <c r="K176" s="24">
        <f>COUNTIF('ALINDAO_Cleaned Data'!MK:MK,"1")</f>
        <v>0</v>
      </c>
      <c r="L176" s="24">
        <f>COUNTIF('ALINDAO_Cleaned Data'!ML:ML,"1")</f>
        <v>0</v>
      </c>
      <c r="M176" s="61"/>
      <c r="N176" s="10"/>
      <c r="O176" s="10"/>
      <c r="P176" s="10"/>
      <c r="Q176" s="10"/>
      <c r="R176" s="10"/>
    </row>
    <row r="177" spans="1:26" ht="14.5" x14ac:dyDescent="0.3">
      <c r="A177" s="10"/>
      <c r="B177" s="10"/>
      <c r="C177" s="10"/>
      <c r="D177" s="10"/>
      <c r="E177" s="10"/>
      <c r="F177" s="10"/>
      <c r="G177" s="10"/>
      <c r="H177" s="10"/>
      <c r="I177" s="10"/>
      <c r="J177" s="10"/>
      <c r="K177" s="10"/>
      <c r="L177" s="10"/>
      <c r="M177" s="61"/>
      <c r="N177" s="10"/>
      <c r="O177" s="10"/>
      <c r="P177" s="10"/>
      <c r="Q177" s="10"/>
      <c r="R177" s="10"/>
    </row>
    <row r="178" spans="1:26" ht="15.5" x14ac:dyDescent="0.35">
      <c r="A178" s="29" t="s">
        <v>1334</v>
      </c>
      <c r="B178" s="10"/>
      <c r="C178" s="10"/>
      <c r="D178" s="10"/>
      <c r="E178" s="10"/>
      <c r="F178" s="10"/>
      <c r="G178" s="10"/>
      <c r="H178" s="10"/>
      <c r="I178" s="10"/>
      <c r="J178" s="10"/>
      <c r="K178" s="10"/>
      <c r="L178" s="10"/>
      <c r="M178" s="61"/>
      <c r="N178" s="10"/>
      <c r="O178" s="10"/>
      <c r="P178" s="10"/>
      <c r="Q178" s="10"/>
      <c r="R178" s="10"/>
    </row>
    <row r="179" spans="1:26" x14ac:dyDescent="0.3">
      <c r="A179" s="3"/>
      <c r="B179" s="8" t="s">
        <v>1210</v>
      </c>
      <c r="C179" s="8" t="s">
        <v>1209</v>
      </c>
      <c r="D179" s="35" t="s">
        <v>1905</v>
      </c>
      <c r="E179" s="114" t="s">
        <v>1206</v>
      </c>
      <c r="F179" s="10"/>
      <c r="G179" s="10"/>
      <c r="H179" s="10"/>
      <c r="I179" s="10"/>
      <c r="J179" s="10"/>
      <c r="K179" s="10"/>
      <c r="L179" s="10"/>
      <c r="M179" s="10"/>
      <c r="N179" s="10"/>
      <c r="O179" s="10"/>
      <c r="P179" s="10"/>
      <c r="Q179" s="10"/>
      <c r="R179" s="10"/>
    </row>
    <row r="180" spans="1:26" x14ac:dyDescent="0.3">
      <c r="A180" s="3" t="s">
        <v>1207</v>
      </c>
      <c r="B180" s="24">
        <f>COUNTIF('ALINDAO_Cleaned Data'!MO:MO,"OUI")</f>
        <v>0</v>
      </c>
      <c r="C180" s="24">
        <f>COUNTIF('ALINDAO_Cleaned Data'!MO:MO,"non")</f>
        <v>3</v>
      </c>
      <c r="D180" s="24">
        <f>COUNTIF('ALINDAO_Cleaned Data'!MO:MO,"nsp")</f>
        <v>0</v>
      </c>
      <c r="E180" s="115">
        <f>SUM(B180:D180)</f>
        <v>3</v>
      </c>
      <c r="F180" s="10"/>
      <c r="G180" s="10"/>
      <c r="H180" s="10"/>
      <c r="I180" s="10"/>
      <c r="J180" s="10"/>
      <c r="K180" s="10"/>
      <c r="L180" s="10"/>
      <c r="M180" s="10"/>
      <c r="N180" s="10"/>
      <c r="O180" s="10"/>
      <c r="P180" s="10"/>
      <c r="Q180" s="10"/>
      <c r="R180" s="10"/>
    </row>
    <row r="181" spans="1:26" ht="26" x14ac:dyDescent="0.3">
      <c r="A181" s="53" t="s">
        <v>3257</v>
      </c>
      <c r="B181" s="7">
        <f>(B180/$B$3)</f>
        <v>0</v>
      </c>
      <c r="C181" s="7">
        <f t="shared" ref="C181:D181" si="28">(C180/$B$3)</f>
        <v>1</v>
      </c>
      <c r="D181" s="7">
        <f t="shared" si="28"/>
        <v>0</v>
      </c>
      <c r="E181" s="116">
        <f>SUM(B181:D181)</f>
        <v>1</v>
      </c>
      <c r="F181" s="10"/>
      <c r="G181" s="10"/>
      <c r="H181" s="10"/>
      <c r="I181" s="10"/>
      <c r="J181" s="10"/>
      <c r="K181" s="10"/>
      <c r="L181" s="10"/>
      <c r="M181" s="10"/>
      <c r="N181" s="10"/>
      <c r="O181" s="10"/>
      <c r="P181" s="10"/>
      <c r="Q181" s="10"/>
      <c r="R181" s="10"/>
    </row>
    <row r="182" spans="1:26" x14ac:dyDescent="0.3">
      <c r="A182" s="10"/>
      <c r="B182" s="10"/>
      <c r="C182" s="10"/>
      <c r="D182" s="10"/>
      <c r="E182" s="10"/>
      <c r="F182" s="10"/>
      <c r="G182" s="10"/>
      <c r="H182" s="10"/>
      <c r="I182" s="10"/>
      <c r="J182" s="10"/>
      <c r="K182" s="10"/>
      <c r="L182" s="10"/>
      <c r="M182" s="10"/>
      <c r="N182" s="10"/>
      <c r="O182" s="10"/>
      <c r="P182" s="10"/>
      <c r="Q182" s="10"/>
      <c r="R182" s="10"/>
    </row>
    <row r="183" spans="1:26" x14ac:dyDescent="0.3">
      <c r="A183" s="10"/>
      <c r="B183" s="18" t="s">
        <v>1262</v>
      </c>
      <c r="C183" s="10"/>
      <c r="D183" s="103" t="s">
        <v>3245</v>
      </c>
      <c r="E183" s="10"/>
      <c r="F183" s="10"/>
      <c r="G183" s="10"/>
      <c r="H183" s="10"/>
      <c r="I183" s="10"/>
      <c r="J183" s="10"/>
      <c r="K183" s="10"/>
      <c r="L183" s="10"/>
      <c r="M183" s="10"/>
      <c r="N183" s="10"/>
      <c r="O183" s="10"/>
      <c r="P183" s="10"/>
      <c r="Q183" s="10"/>
      <c r="R183" s="10"/>
    </row>
    <row r="184" spans="1:26" s="56" customFormat="1" ht="28" x14ac:dyDescent="0.3">
      <c r="A184" s="36"/>
      <c r="B184" s="3"/>
      <c r="C184" s="11" t="s">
        <v>1922</v>
      </c>
      <c r="D184" s="11" t="s">
        <v>1369</v>
      </c>
      <c r="E184" s="11" t="s">
        <v>1923</v>
      </c>
      <c r="F184" s="11" t="s">
        <v>1924</v>
      </c>
      <c r="G184" s="11" t="s">
        <v>1925</v>
      </c>
      <c r="H184" s="11" t="s">
        <v>1905</v>
      </c>
      <c r="I184" s="11" t="s">
        <v>1205</v>
      </c>
      <c r="J184" s="10"/>
      <c r="K184" s="61"/>
      <c r="L184" s="36"/>
      <c r="M184" s="36"/>
      <c r="N184" s="36"/>
      <c r="O184" s="36"/>
      <c r="P184" s="36"/>
      <c r="Q184" s="36"/>
      <c r="R184" s="36"/>
      <c r="S184" s="36"/>
      <c r="T184" s="36"/>
      <c r="U184" s="36"/>
      <c r="V184" s="36"/>
      <c r="W184" s="36"/>
      <c r="X184" s="36"/>
      <c r="Y184" s="36"/>
      <c r="Z184" s="36"/>
    </row>
    <row r="185" spans="1:26" x14ac:dyDescent="0.3">
      <c r="A185" s="10"/>
      <c r="B185" s="3" t="s">
        <v>1207</v>
      </c>
      <c r="C185" s="24">
        <f>COUNTIF('ALINDAO_Cleaned Data'!MQ:MQ,"1")</f>
        <v>0</v>
      </c>
      <c r="D185" s="24">
        <f>COUNTIF('ALINDAO_Cleaned Data'!MR:MR,"1")</f>
        <v>0</v>
      </c>
      <c r="E185" s="24">
        <f>COUNTIF('ALINDAO_Cleaned Data'!MS:MS,"1")</f>
        <v>0</v>
      </c>
      <c r="F185" s="24">
        <f>COUNTIF('ALINDAO_Cleaned Data'!MT:MT,"1")</f>
        <v>0</v>
      </c>
      <c r="G185" s="24">
        <f>COUNTIF('ALINDAO_Cleaned Data'!MU:MU,"1")</f>
        <v>0</v>
      </c>
      <c r="H185" s="24">
        <f>COUNTIF('ALINDAO_Cleaned Data'!MV:MV,"1")</f>
        <v>0</v>
      </c>
      <c r="I185" s="24">
        <f>COUNTIF('ALINDAO_Cleaned Data'!MW:MW,"1")</f>
        <v>0</v>
      </c>
      <c r="J185" s="10"/>
      <c r="K185" s="10"/>
      <c r="L185" s="10"/>
      <c r="M185" s="10"/>
      <c r="N185" s="10"/>
      <c r="O185" s="10"/>
      <c r="P185" s="10"/>
      <c r="Q185" s="10"/>
      <c r="R185" s="10"/>
    </row>
    <row r="186" spans="1:26" ht="37.5" x14ac:dyDescent="0.3">
      <c r="A186" s="10"/>
      <c r="B186" s="53" t="s">
        <v>3271</v>
      </c>
      <c r="C186" s="7" t="e">
        <f>C185/$B$180</f>
        <v>#DIV/0!</v>
      </c>
      <c r="D186" s="7" t="e">
        <f t="shared" ref="D186:I186" si="29">D185/$B$180</f>
        <v>#DIV/0!</v>
      </c>
      <c r="E186" s="7" t="e">
        <f t="shared" si="29"/>
        <v>#DIV/0!</v>
      </c>
      <c r="F186" s="7" t="e">
        <f t="shared" si="29"/>
        <v>#DIV/0!</v>
      </c>
      <c r="G186" s="7" t="e">
        <f t="shared" si="29"/>
        <v>#DIV/0!</v>
      </c>
      <c r="H186" s="7" t="e">
        <f t="shared" si="29"/>
        <v>#DIV/0!</v>
      </c>
      <c r="I186" s="7" t="e">
        <f t="shared" si="29"/>
        <v>#DIV/0!</v>
      </c>
      <c r="J186" s="10"/>
      <c r="K186" s="10"/>
      <c r="L186" s="10"/>
      <c r="M186" s="10"/>
      <c r="N186" s="10"/>
      <c r="O186" s="10"/>
      <c r="P186" s="10"/>
      <c r="Q186" s="10"/>
      <c r="R186" s="10"/>
    </row>
    <row r="187" spans="1:26" x14ac:dyDescent="0.3">
      <c r="A187" s="10"/>
      <c r="B187" s="10"/>
      <c r="C187" s="10"/>
      <c r="D187" s="10"/>
      <c r="E187" s="10"/>
      <c r="F187" s="10"/>
      <c r="G187" s="10"/>
      <c r="H187" s="10"/>
      <c r="I187" s="10"/>
      <c r="J187" s="10"/>
      <c r="K187" s="10"/>
      <c r="L187" s="10"/>
      <c r="M187" s="10"/>
      <c r="N187" s="10"/>
      <c r="O187" s="10"/>
      <c r="P187" s="10"/>
      <c r="Q187" s="10"/>
      <c r="R187" s="10"/>
    </row>
    <row r="188" spans="1:26" x14ac:dyDescent="0.3">
      <c r="A188" s="10"/>
      <c r="B188" s="18" t="s">
        <v>1265</v>
      </c>
      <c r="C188" s="10"/>
      <c r="D188" s="103" t="s">
        <v>3245</v>
      </c>
      <c r="E188" s="10"/>
      <c r="F188" s="10"/>
      <c r="G188" s="10"/>
      <c r="H188" s="10"/>
      <c r="I188" s="10"/>
      <c r="J188" s="10"/>
      <c r="K188" s="10"/>
      <c r="L188" s="10"/>
      <c r="M188" s="10"/>
      <c r="N188" s="10"/>
      <c r="O188" s="10"/>
      <c r="P188" s="10"/>
      <c r="Q188" s="10"/>
      <c r="R188" s="10"/>
    </row>
    <row r="189" spans="1:26" s="56" customFormat="1" ht="56" x14ac:dyDescent="0.3">
      <c r="A189" s="36"/>
      <c r="B189" s="3"/>
      <c r="C189" s="11" t="s">
        <v>1928</v>
      </c>
      <c r="D189" s="11" t="s">
        <v>1926</v>
      </c>
      <c r="E189" s="11" t="s">
        <v>1268</v>
      </c>
      <c r="F189" s="11" t="s">
        <v>1269</v>
      </c>
      <c r="G189" s="11" t="s">
        <v>1927</v>
      </c>
      <c r="H189" s="11" t="s">
        <v>1266</v>
      </c>
      <c r="I189" s="11" t="s">
        <v>1267</v>
      </c>
      <c r="J189" s="11" t="s">
        <v>1929</v>
      </c>
      <c r="K189" s="11" t="s">
        <v>1930</v>
      </c>
      <c r="L189" s="11" t="s">
        <v>1931</v>
      </c>
      <c r="M189" s="11" t="s">
        <v>1932</v>
      </c>
      <c r="N189" s="11" t="s">
        <v>1905</v>
      </c>
      <c r="O189" s="11" t="s">
        <v>1220</v>
      </c>
      <c r="P189" s="10"/>
      <c r="Q189" s="61"/>
      <c r="S189" s="36"/>
      <c r="T189" s="36"/>
      <c r="U189" s="36"/>
      <c r="V189" s="36"/>
      <c r="W189" s="36"/>
      <c r="X189" s="36"/>
      <c r="Y189" s="36"/>
      <c r="Z189" s="36"/>
    </row>
    <row r="190" spans="1:26" x14ac:dyDescent="0.3">
      <c r="A190" s="10"/>
      <c r="B190" s="3" t="s">
        <v>1207</v>
      </c>
      <c r="C190" s="24">
        <f>COUNTIF('ALINDAO_Cleaned Data'!MZ:MZ,"1")</f>
        <v>0</v>
      </c>
      <c r="D190" s="24">
        <f>COUNTIF('ALINDAO_Cleaned Data'!NA:NA,"1")</f>
        <v>0</v>
      </c>
      <c r="E190" s="24">
        <f>COUNTIF('ALINDAO_Cleaned Data'!NB:NB,"1")</f>
        <v>0</v>
      </c>
      <c r="F190" s="24">
        <f>COUNTIF('ALINDAO_Cleaned Data'!NC:NC,"1")</f>
        <v>0</v>
      </c>
      <c r="G190" s="24">
        <f>COUNTIF('ALINDAO_Cleaned Data'!ND:ND,"1")</f>
        <v>0</v>
      </c>
      <c r="H190" s="24">
        <f>COUNTIF('ALINDAO_Cleaned Data'!NE:NE,"1")</f>
        <v>0</v>
      </c>
      <c r="I190" s="24">
        <f>COUNTIF('ALINDAO_Cleaned Data'!NF:NF,"1")</f>
        <v>0</v>
      </c>
      <c r="J190" s="24">
        <f>COUNTIF('ALINDAO_Cleaned Data'!NG:NG,"1")</f>
        <v>0</v>
      </c>
      <c r="K190" s="24">
        <f>COUNTIF('ALINDAO_Cleaned Data'!NH:NH,"1")</f>
        <v>0</v>
      </c>
      <c r="L190" s="24">
        <f>COUNTIF('ALINDAO_Cleaned Data'!NI:NI,"1")</f>
        <v>0</v>
      </c>
      <c r="M190" s="24">
        <f>COUNTIF('ALINDAO_Cleaned Data'!NJ:NJ,"1")</f>
        <v>0</v>
      </c>
      <c r="N190" s="24">
        <f>COUNTIF('ALINDAO_Cleaned Data'!NK:NK,"1")</f>
        <v>0</v>
      </c>
      <c r="O190" s="24">
        <f>COUNTIF('ALINDAO_Cleaned Data'!NL:NL,"1")</f>
        <v>0</v>
      </c>
      <c r="P190" s="10"/>
      <c r="Q190" s="10"/>
      <c r="R190" s="10"/>
    </row>
    <row r="191" spans="1:26" x14ac:dyDescent="0.3">
      <c r="A191" s="10"/>
      <c r="B191" s="3" t="s">
        <v>1208</v>
      </c>
      <c r="C191" s="7" t="e">
        <f>C190/$B$180</f>
        <v>#DIV/0!</v>
      </c>
      <c r="D191" s="7" t="e">
        <f t="shared" ref="D191:O191" si="30">D190/$B$180</f>
        <v>#DIV/0!</v>
      </c>
      <c r="E191" s="7" t="e">
        <f t="shared" si="30"/>
        <v>#DIV/0!</v>
      </c>
      <c r="F191" s="7" t="e">
        <f t="shared" si="30"/>
        <v>#DIV/0!</v>
      </c>
      <c r="G191" s="7" t="e">
        <f t="shared" si="30"/>
        <v>#DIV/0!</v>
      </c>
      <c r="H191" s="7" t="e">
        <f t="shared" si="30"/>
        <v>#DIV/0!</v>
      </c>
      <c r="I191" s="7" t="e">
        <f t="shared" si="30"/>
        <v>#DIV/0!</v>
      </c>
      <c r="J191" s="7" t="e">
        <f t="shared" si="30"/>
        <v>#DIV/0!</v>
      </c>
      <c r="K191" s="7" t="e">
        <f t="shared" si="30"/>
        <v>#DIV/0!</v>
      </c>
      <c r="L191" s="7" t="e">
        <f t="shared" si="30"/>
        <v>#DIV/0!</v>
      </c>
      <c r="M191" s="7" t="e">
        <f t="shared" si="30"/>
        <v>#DIV/0!</v>
      </c>
      <c r="N191" s="7" t="e">
        <f t="shared" si="30"/>
        <v>#DIV/0!</v>
      </c>
      <c r="O191" s="7" t="e">
        <f t="shared" si="30"/>
        <v>#DIV/0!</v>
      </c>
      <c r="P191" s="10"/>
      <c r="Q191" s="10"/>
      <c r="R191" s="10"/>
    </row>
    <row r="192" spans="1:26" s="10" customFormat="1" x14ac:dyDescent="0.3">
      <c r="B192" s="15"/>
      <c r="C192" s="15"/>
      <c r="D192" s="15"/>
      <c r="E192" s="15"/>
      <c r="F192" s="15"/>
      <c r="G192" s="15"/>
      <c r="H192" s="15"/>
    </row>
    <row r="193" spans="1:45" x14ac:dyDescent="0.3">
      <c r="A193" s="10"/>
      <c r="B193" s="18" t="s">
        <v>1406</v>
      </c>
      <c r="C193" s="10"/>
      <c r="D193" s="10"/>
      <c r="E193" s="10"/>
      <c r="F193" s="10"/>
      <c r="G193" s="10"/>
      <c r="H193" s="10"/>
      <c r="I193" s="10"/>
      <c r="J193" s="10"/>
      <c r="K193" s="10"/>
      <c r="L193" s="10"/>
      <c r="M193" s="10"/>
      <c r="N193" s="10"/>
      <c r="O193" s="10"/>
      <c r="P193" s="10"/>
      <c r="Q193" s="10"/>
      <c r="R193" s="10"/>
    </row>
    <row r="194" spans="1:45" x14ac:dyDescent="0.3">
      <c r="A194" s="10"/>
      <c r="B194" s="3"/>
      <c r="C194" s="11" t="s">
        <v>1210</v>
      </c>
      <c r="D194" s="11" t="s">
        <v>1209</v>
      </c>
      <c r="E194" s="114" t="s">
        <v>1206</v>
      </c>
      <c r="F194" s="10"/>
      <c r="G194" s="10"/>
      <c r="H194" s="10"/>
      <c r="I194" s="10"/>
      <c r="J194" s="10"/>
      <c r="K194" s="10"/>
      <c r="L194" s="10"/>
      <c r="M194" s="10"/>
      <c r="N194" s="10"/>
      <c r="O194" s="10"/>
      <c r="P194" s="10"/>
      <c r="Q194" s="10"/>
      <c r="R194" s="10"/>
    </row>
    <row r="195" spans="1:45" x14ac:dyDescent="0.3">
      <c r="A195" s="10"/>
      <c r="B195" s="3" t="s">
        <v>1207</v>
      </c>
      <c r="C195" s="24">
        <f>COUNTIF('ALINDAO_Cleaned Data'!NN:NN,"OUI")</f>
        <v>0</v>
      </c>
      <c r="D195" s="24">
        <f>COUNTIF('ALINDAO_Cleaned Data'!NN:NN,"non")</f>
        <v>0</v>
      </c>
      <c r="E195" s="115">
        <f>SUM(C195:D195)</f>
        <v>0</v>
      </c>
      <c r="F195" s="10"/>
      <c r="G195" s="10"/>
      <c r="H195" s="10"/>
      <c r="I195" s="10"/>
      <c r="J195" s="10"/>
      <c r="K195" s="10"/>
      <c r="L195" s="10"/>
      <c r="M195" s="10"/>
      <c r="N195" s="10"/>
      <c r="O195" s="10"/>
      <c r="P195" s="10"/>
      <c r="Q195" s="10"/>
      <c r="R195" s="10"/>
    </row>
    <row r="196" spans="1:45" ht="37.5" x14ac:dyDescent="0.3">
      <c r="A196" s="10"/>
      <c r="B196" s="53" t="s">
        <v>3271</v>
      </c>
      <c r="C196" s="7" t="e">
        <f>(C195/$B$180)</f>
        <v>#DIV/0!</v>
      </c>
      <c r="D196" s="7" t="e">
        <f>(D195/$B$180)</f>
        <v>#DIV/0!</v>
      </c>
      <c r="E196" s="116" t="e">
        <f>SUM(C196:D196)</f>
        <v>#DIV/0!</v>
      </c>
      <c r="F196" s="10"/>
      <c r="G196" s="10"/>
      <c r="H196" s="10"/>
      <c r="I196" s="10"/>
      <c r="J196" s="10"/>
      <c r="K196" s="10"/>
      <c r="L196" s="10"/>
      <c r="M196" s="10"/>
      <c r="N196" s="10"/>
      <c r="O196" s="10"/>
      <c r="P196" s="10"/>
      <c r="Q196" s="10"/>
      <c r="R196" s="10"/>
    </row>
    <row r="197" spans="1:45" x14ac:dyDescent="0.3">
      <c r="A197" s="10"/>
      <c r="B197" s="10"/>
      <c r="C197" s="10"/>
      <c r="D197" s="10"/>
      <c r="E197" s="10"/>
      <c r="F197" s="10"/>
      <c r="G197" s="10"/>
      <c r="H197" s="10"/>
      <c r="I197" s="10"/>
      <c r="J197" s="10"/>
      <c r="K197" s="10"/>
      <c r="L197" s="10"/>
      <c r="M197" s="10"/>
      <c r="N197" s="10"/>
      <c r="O197" s="10"/>
      <c r="P197" s="10"/>
      <c r="Q197" s="10"/>
      <c r="R197" s="10"/>
    </row>
    <row r="198" spans="1:45" x14ac:dyDescent="0.3">
      <c r="A198" s="10"/>
      <c r="B198" s="10"/>
      <c r="C198" s="18" t="s">
        <v>1270</v>
      </c>
      <c r="D198" s="103" t="s">
        <v>3245</v>
      </c>
      <c r="E198" s="103"/>
      <c r="F198" s="10"/>
      <c r="G198" s="10"/>
      <c r="H198" s="10"/>
      <c r="I198" s="10"/>
      <c r="J198" s="10"/>
      <c r="K198" s="10"/>
      <c r="L198" s="10"/>
      <c r="M198" s="10"/>
      <c r="N198" s="10"/>
      <c r="O198" s="10"/>
      <c r="P198" s="10"/>
      <c r="Q198" s="10"/>
      <c r="R198" s="10"/>
    </row>
    <row r="199" spans="1:45" x14ac:dyDescent="0.3">
      <c r="A199" s="10"/>
      <c r="B199" s="10"/>
      <c r="C199" s="3"/>
      <c r="D199" s="11" t="s">
        <v>1271</v>
      </c>
      <c r="E199" s="11" t="s">
        <v>1272</v>
      </c>
      <c r="F199" s="11" t="s">
        <v>1273</v>
      </c>
      <c r="G199" s="11" t="s">
        <v>1274</v>
      </c>
      <c r="H199" s="11" t="s">
        <v>1205</v>
      </c>
      <c r="I199" s="10"/>
      <c r="J199" s="10"/>
      <c r="K199" s="10"/>
      <c r="L199" s="10"/>
      <c r="M199" s="10"/>
      <c r="N199" s="10"/>
      <c r="O199" s="10"/>
      <c r="P199" s="10"/>
      <c r="Q199" s="10"/>
      <c r="R199" s="10"/>
    </row>
    <row r="200" spans="1:45" x14ac:dyDescent="0.3">
      <c r="A200" s="10"/>
      <c r="B200" s="10"/>
      <c r="C200" s="3" t="s">
        <v>1207</v>
      </c>
      <c r="D200" s="4">
        <f>COUNTIF('ALINDAO_Cleaned Data'!NP:NP,"1")</f>
        <v>0</v>
      </c>
      <c r="E200" s="4">
        <f>COUNTIF('ALINDAO_Cleaned Data'!NQ:NQ,"1")</f>
        <v>0</v>
      </c>
      <c r="F200" s="4">
        <f>COUNTIF('ALINDAO_Cleaned Data'!NR:NR,"1")</f>
        <v>0</v>
      </c>
      <c r="G200" s="4">
        <f>COUNTIF('ALINDAO_Cleaned Data'!NS:NS,"1")</f>
        <v>0</v>
      </c>
      <c r="H200" s="4">
        <f>COUNTIF('ALINDAO_Cleaned Data'!NT:NT,"1")</f>
        <v>0</v>
      </c>
      <c r="I200" s="10"/>
      <c r="J200" s="10"/>
      <c r="K200" s="10"/>
      <c r="L200" s="10"/>
      <c r="M200" s="10"/>
      <c r="N200" s="10"/>
      <c r="O200" s="10"/>
      <c r="P200" s="10"/>
      <c r="Q200" s="10"/>
      <c r="R200" s="10"/>
    </row>
    <row r="201" spans="1:45" ht="37.5" x14ac:dyDescent="0.3">
      <c r="A201" s="10"/>
      <c r="B201" s="10"/>
      <c r="C201" s="53" t="s">
        <v>3272</v>
      </c>
      <c r="D201" s="7" t="e">
        <f>D200/$D$195</f>
        <v>#DIV/0!</v>
      </c>
      <c r="E201" s="7" t="e">
        <f t="shared" ref="E201:H201" si="31">E200/$D$195</f>
        <v>#DIV/0!</v>
      </c>
      <c r="F201" s="7" t="e">
        <f t="shared" si="31"/>
        <v>#DIV/0!</v>
      </c>
      <c r="G201" s="7" t="e">
        <f t="shared" si="31"/>
        <v>#DIV/0!</v>
      </c>
      <c r="H201" s="7" t="e">
        <f t="shared" si="31"/>
        <v>#DIV/0!</v>
      </c>
      <c r="I201" s="10"/>
      <c r="J201" s="10"/>
      <c r="K201" s="10"/>
      <c r="L201" s="10"/>
      <c r="M201" s="10"/>
      <c r="N201" s="10"/>
      <c r="O201" s="10"/>
      <c r="P201" s="10"/>
      <c r="Q201" s="10"/>
      <c r="R201" s="10"/>
    </row>
    <row r="202" spans="1:45" s="10" customFormat="1" x14ac:dyDescent="0.3">
      <c r="AA202" s="1"/>
      <c r="AB202" s="1"/>
      <c r="AC202" s="1"/>
      <c r="AD202" s="1"/>
      <c r="AE202" s="1"/>
      <c r="AF202" s="1"/>
      <c r="AG202" s="1"/>
      <c r="AH202" s="1"/>
      <c r="AI202" s="1"/>
      <c r="AJ202" s="1"/>
      <c r="AK202" s="1"/>
      <c r="AL202" s="1"/>
      <c r="AM202" s="1"/>
      <c r="AN202" s="1"/>
      <c r="AO202" s="1"/>
      <c r="AP202" s="1"/>
      <c r="AQ202" s="1"/>
      <c r="AR202" s="1"/>
      <c r="AS202" s="1"/>
    </row>
    <row r="203" spans="1:45" s="10" customFormat="1" ht="15.5" x14ac:dyDescent="0.35">
      <c r="A203" s="9" t="s">
        <v>1301</v>
      </c>
      <c r="B203" s="103"/>
      <c r="C203" s="103" t="s">
        <v>3245</v>
      </c>
      <c r="AA203" s="1"/>
      <c r="AB203" s="1"/>
      <c r="AC203" s="1"/>
      <c r="AD203" s="1"/>
      <c r="AE203" s="1"/>
      <c r="AF203" s="1"/>
      <c r="AG203" s="1"/>
      <c r="AH203" s="1"/>
      <c r="AI203" s="1"/>
      <c r="AJ203" s="1"/>
      <c r="AK203" s="1"/>
      <c r="AL203" s="1"/>
      <c r="AM203" s="1"/>
      <c r="AN203" s="1"/>
      <c r="AO203" s="1"/>
      <c r="AP203" s="1"/>
      <c r="AQ203" s="1"/>
      <c r="AR203" s="1"/>
      <c r="AS203" s="1"/>
    </row>
    <row r="204" spans="1:45" s="10" customFormat="1" x14ac:dyDescent="0.3">
      <c r="AA204" s="1"/>
      <c r="AB204" s="1"/>
      <c r="AC204" s="1"/>
      <c r="AD204" s="1"/>
      <c r="AE204" s="1"/>
      <c r="AF204" s="1"/>
      <c r="AG204" s="1"/>
      <c r="AH204" s="1"/>
      <c r="AI204" s="1"/>
      <c r="AJ204" s="1"/>
      <c r="AK204" s="1"/>
      <c r="AL204" s="1"/>
      <c r="AM204" s="1"/>
      <c r="AN204" s="1"/>
      <c r="AO204" s="1"/>
      <c r="AP204" s="1"/>
      <c r="AQ204" s="1"/>
      <c r="AR204" s="1"/>
      <c r="AS204" s="1"/>
    </row>
    <row r="205" spans="1:45" s="10" customFormat="1" ht="42" x14ac:dyDescent="0.3">
      <c r="A205" s="8" t="s">
        <v>1928</v>
      </c>
      <c r="B205" s="8" t="s">
        <v>1926</v>
      </c>
      <c r="C205" s="8" t="s">
        <v>1268</v>
      </c>
      <c r="D205" s="8" t="s">
        <v>1269</v>
      </c>
      <c r="E205" s="8" t="s">
        <v>1927</v>
      </c>
      <c r="F205" s="8" t="s">
        <v>1266</v>
      </c>
      <c r="G205" s="8" t="s">
        <v>1267</v>
      </c>
      <c r="H205" s="8" t="s">
        <v>1929</v>
      </c>
      <c r="I205" s="8" t="s">
        <v>1930</v>
      </c>
      <c r="J205" s="8" t="s">
        <v>1931</v>
      </c>
      <c r="K205" s="8" t="s">
        <v>1932</v>
      </c>
      <c r="L205" s="8" t="s">
        <v>1905</v>
      </c>
      <c r="M205" s="8" t="s">
        <v>1220</v>
      </c>
      <c r="AA205" s="1"/>
      <c r="AB205" s="1"/>
      <c r="AC205" s="1"/>
      <c r="AD205" s="1"/>
      <c r="AE205" s="1"/>
      <c r="AF205" s="1"/>
      <c r="AG205" s="1"/>
      <c r="AH205" s="1"/>
      <c r="AI205" s="1"/>
      <c r="AJ205" s="1"/>
      <c r="AK205" s="1"/>
      <c r="AL205" s="1"/>
      <c r="AM205" s="1"/>
      <c r="AN205" s="1"/>
      <c r="AO205" s="1"/>
      <c r="AP205" s="1"/>
      <c r="AQ205" s="1"/>
      <c r="AR205" s="1"/>
      <c r="AS205" s="1"/>
    </row>
    <row r="206" spans="1:45" s="10" customFormat="1" x14ac:dyDescent="0.3">
      <c r="A206" s="24">
        <f>COUNTIF('ALINDAO_Cleaned Data'!NW:NW,"1")</f>
        <v>1</v>
      </c>
      <c r="B206" s="24">
        <f>COUNTIF('ALINDAO_Cleaned Data'!NX:NX,"1")</f>
        <v>1</v>
      </c>
      <c r="C206" s="24">
        <f>COUNTIF('ALINDAO_Cleaned Data'!NY:NY,"1")</f>
        <v>1</v>
      </c>
      <c r="D206" s="24">
        <f>COUNTIF('ALINDAO_Cleaned Data'!NZ:NZ,"1")</f>
        <v>1</v>
      </c>
      <c r="E206" s="24">
        <f>COUNTIF('ALINDAO_Cleaned Data'!OA:OA,"1")</f>
        <v>1</v>
      </c>
      <c r="F206" s="24">
        <f>COUNTIF('ALINDAO_Cleaned Data'!OB:OB,"1")</f>
        <v>1</v>
      </c>
      <c r="G206" s="24">
        <f>COUNTIF('ALINDAO_Cleaned Data'!OC:OC,"1")</f>
        <v>1</v>
      </c>
      <c r="H206" s="24">
        <f>COUNTIF('ALINDAO_Cleaned Data'!OD:OD,"1")</f>
        <v>1</v>
      </c>
      <c r="I206" s="24">
        <f>COUNTIF('ALINDAO_Cleaned Data'!OE:OE,"1")</f>
        <v>1</v>
      </c>
      <c r="J206" s="24">
        <f>COUNTIF('ALINDAO_Cleaned Data'!OF:OF,"1")</f>
        <v>1</v>
      </c>
      <c r="K206" s="24">
        <f>COUNTIF('ALINDAO_Cleaned Data'!OG:OG,"1")</f>
        <v>0</v>
      </c>
      <c r="L206" s="24">
        <f>COUNTIF('ALINDAO_Cleaned Data'!OH:OH,"1")</f>
        <v>1</v>
      </c>
      <c r="M206" s="24">
        <f>COUNTIF('ALINDAO_Cleaned Data'!OI:OI,"1")</f>
        <v>0</v>
      </c>
      <c r="AA206" s="1"/>
      <c r="AB206" s="1"/>
      <c r="AC206" s="1"/>
      <c r="AD206" s="1"/>
      <c r="AE206" s="1"/>
      <c r="AF206" s="1"/>
      <c r="AG206" s="1"/>
      <c r="AH206" s="1"/>
      <c r="AI206" s="1"/>
      <c r="AJ206" s="1"/>
      <c r="AK206" s="1"/>
      <c r="AL206" s="1"/>
      <c r="AM206" s="1"/>
      <c r="AN206" s="1"/>
      <c r="AO206" s="1"/>
      <c r="AP206" s="1"/>
      <c r="AQ206" s="1"/>
      <c r="AR206" s="1"/>
      <c r="AS206" s="1"/>
    </row>
    <row r="207" spans="1:45" s="10" customFormat="1" x14ac:dyDescent="0.3">
      <c r="AA207" s="1"/>
      <c r="AB207" s="1"/>
      <c r="AC207" s="1"/>
      <c r="AD207" s="1"/>
      <c r="AE207" s="1"/>
      <c r="AF207" s="1"/>
      <c r="AG207" s="1"/>
      <c r="AH207" s="1"/>
      <c r="AI207" s="1"/>
      <c r="AJ207" s="1"/>
      <c r="AK207" s="1"/>
      <c r="AL207" s="1"/>
      <c r="AM207" s="1"/>
      <c r="AN207" s="1"/>
      <c r="AO207" s="1"/>
      <c r="AP207" s="1"/>
      <c r="AQ207" s="1"/>
      <c r="AR207" s="1"/>
      <c r="AS207" s="1"/>
    </row>
    <row r="208" spans="1:45" s="10" customFormat="1" x14ac:dyDescent="0.3">
      <c r="AA208" s="1"/>
      <c r="AB208" s="1"/>
      <c r="AC208" s="1"/>
      <c r="AD208" s="1"/>
      <c r="AE208" s="1"/>
      <c r="AF208" s="1"/>
      <c r="AG208" s="1"/>
      <c r="AH208" s="1"/>
      <c r="AI208" s="1"/>
      <c r="AJ208" s="1"/>
      <c r="AK208" s="1"/>
      <c r="AL208" s="1"/>
      <c r="AM208" s="1"/>
      <c r="AN208" s="1"/>
      <c r="AO208" s="1"/>
      <c r="AP208" s="1"/>
      <c r="AQ208" s="1"/>
      <c r="AR208" s="1"/>
      <c r="AS208" s="1"/>
    </row>
    <row r="209" spans="27:45" s="10" customFormat="1" x14ac:dyDescent="0.3">
      <c r="AA209" s="1"/>
      <c r="AB209" s="1"/>
      <c r="AC209" s="1"/>
      <c r="AD209" s="1"/>
      <c r="AE209" s="1"/>
      <c r="AF209" s="1"/>
      <c r="AG209" s="1"/>
      <c r="AH209" s="1"/>
      <c r="AI209" s="1"/>
      <c r="AJ209" s="1"/>
      <c r="AK209" s="1"/>
      <c r="AL209" s="1"/>
      <c r="AM209" s="1"/>
      <c r="AN209" s="1"/>
      <c r="AO209" s="1"/>
      <c r="AP209" s="1"/>
      <c r="AQ209" s="1"/>
      <c r="AR209" s="1"/>
      <c r="AS209" s="1"/>
    </row>
    <row r="210" spans="27:45" s="10" customFormat="1" x14ac:dyDescent="0.3">
      <c r="AA210" s="1"/>
      <c r="AB210" s="1"/>
      <c r="AC210" s="1"/>
      <c r="AD210" s="1"/>
      <c r="AE210" s="1"/>
      <c r="AF210" s="1"/>
      <c r="AG210" s="1"/>
      <c r="AH210" s="1"/>
      <c r="AI210" s="1"/>
      <c r="AJ210" s="1"/>
      <c r="AK210" s="1"/>
      <c r="AL210" s="1"/>
      <c r="AM210" s="1"/>
      <c r="AN210" s="1"/>
      <c r="AO210" s="1"/>
      <c r="AP210" s="1"/>
      <c r="AQ210" s="1"/>
      <c r="AR210" s="1"/>
      <c r="AS210" s="1"/>
    </row>
    <row r="211" spans="27:45" s="10" customFormat="1" x14ac:dyDescent="0.3">
      <c r="AA211" s="1"/>
      <c r="AB211" s="1"/>
      <c r="AC211" s="1"/>
      <c r="AD211" s="1"/>
      <c r="AE211" s="1"/>
      <c r="AF211" s="1"/>
      <c r="AG211" s="1"/>
      <c r="AH211" s="1"/>
      <c r="AI211" s="1"/>
      <c r="AJ211" s="1"/>
      <c r="AK211" s="1"/>
      <c r="AL211" s="1"/>
      <c r="AM211" s="1"/>
      <c r="AN211" s="1"/>
      <c r="AO211" s="1"/>
      <c r="AP211" s="1"/>
      <c r="AQ211" s="1"/>
      <c r="AR211" s="1"/>
      <c r="AS211" s="1"/>
    </row>
    <row r="212" spans="27:45" s="10" customFormat="1" x14ac:dyDescent="0.3">
      <c r="AA212" s="1"/>
      <c r="AB212" s="1"/>
      <c r="AC212" s="1"/>
      <c r="AD212" s="1"/>
      <c r="AE212" s="1"/>
      <c r="AF212" s="1"/>
      <c r="AG212" s="1"/>
      <c r="AH212" s="1"/>
      <c r="AI212" s="1"/>
      <c r="AJ212" s="1"/>
      <c r="AK212" s="1"/>
      <c r="AL212" s="1"/>
      <c r="AM212" s="1"/>
      <c r="AN212" s="1"/>
      <c r="AO212" s="1"/>
      <c r="AP212" s="1"/>
      <c r="AQ212" s="1"/>
      <c r="AR212" s="1"/>
      <c r="AS212" s="1"/>
    </row>
    <row r="213" spans="27:45" s="10" customFormat="1" x14ac:dyDescent="0.3">
      <c r="AA213" s="1"/>
      <c r="AB213" s="1"/>
      <c r="AC213" s="1"/>
      <c r="AD213" s="1"/>
      <c r="AE213" s="1"/>
      <c r="AF213" s="1"/>
      <c r="AG213" s="1"/>
      <c r="AH213" s="1"/>
      <c r="AI213" s="1"/>
      <c r="AJ213" s="1"/>
      <c r="AK213" s="1"/>
      <c r="AL213" s="1"/>
      <c r="AM213" s="1"/>
      <c r="AN213" s="1"/>
      <c r="AO213" s="1"/>
      <c r="AP213" s="1"/>
      <c r="AQ213" s="1"/>
      <c r="AR213" s="1"/>
      <c r="AS213" s="1"/>
    </row>
    <row r="214" spans="27:45" s="10" customFormat="1" x14ac:dyDescent="0.3">
      <c r="AA214" s="1"/>
      <c r="AB214" s="1"/>
      <c r="AC214" s="1"/>
      <c r="AD214" s="1"/>
      <c r="AE214" s="1"/>
      <c r="AF214" s="1"/>
      <c r="AG214" s="1"/>
      <c r="AH214" s="1"/>
      <c r="AI214" s="1"/>
      <c r="AJ214" s="1"/>
      <c r="AK214" s="1"/>
      <c r="AL214" s="1"/>
      <c r="AM214" s="1"/>
      <c r="AN214" s="1"/>
      <c r="AO214" s="1"/>
      <c r="AP214" s="1"/>
      <c r="AQ214" s="1"/>
      <c r="AR214" s="1"/>
      <c r="AS214" s="1"/>
    </row>
    <row r="215" spans="27:45" s="10" customFormat="1" x14ac:dyDescent="0.3">
      <c r="AA215" s="1"/>
      <c r="AB215" s="1"/>
      <c r="AC215" s="1"/>
      <c r="AD215" s="1"/>
      <c r="AE215" s="1"/>
      <c r="AF215" s="1"/>
      <c r="AG215" s="1"/>
      <c r="AH215" s="1"/>
      <c r="AI215" s="1"/>
      <c r="AJ215" s="1"/>
      <c r="AK215" s="1"/>
      <c r="AL215" s="1"/>
      <c r="AM215" s="1"/>
      <c r="AN215" s="1"/>
      <c r="AO215" s="1"/>
      <c r="AP215" s="1"/>
      <c r="AQ215" s="1"/>
      <c r="AR215" s="1"/>
      <c r="AS215" s="1"/>
    </row>
    <row r="216" spans="27:45" s="10" customFormat="1" x14ac:dyDescent="0.3">
      <c r="AA216" s="1"/>
      <c r="AB216" s="1"/>
      <c r="AC216" s="1"/>
      <c r="AD216" s="1"/>
      <c r="AE216" s="1"/>
      <c r="AF216" s="1"/>
      <c r="AG216" s="1"/>
      <c r="AH216" s="1"/>
      <c r="AI216" s="1"/>
      <c r="AJ216" s="1"/>
      <c r="AK216" s="1"/>
      <c r="AL216" s="1"/>
      <c r="AM216" s="1"/>
      <c r="AN216" s="1"/>
      <c r="AO216" s="1"/>
      <c r="AP216" s="1"/>
      <c r="AQ216" s="1"/>
      <c r="AR216" s="1"/>
      <c r="AS216" s="1"/>
    </row>
    <row r="217" spans="27:45" s="10" customFormat="1" x14ac:dyDescent="0.3">
      <c r="AA217" s="1"/>
      <c r="AB217" s="1"/>
      <c r="AC217" s="1"/>
      <c r="AD217" s="1"/>
      <c r="AE217" s="1"/>
      <c r="AF217" s="1"/>
      <c r="AG217" s="1"/>
      <c r="AH217" s="1"/>
      <c r="AI217" s="1"/>
      <c r="AJ217" s="1"/>
      <c r="AK217" s="1"/>
      <c r="AL217" s="1"/>
      <c r="AM217" s="1"/>
      <c r="AN217" s="1"/>
      <c r="AO217" s="1"/>
      <c r="AP217" s="1"/>
      <c r="AQ217" s="1"/>
      <c r="AR217" s="1"/>
      <c r="AS217" s="1"/>
    </row>
    <row r="218" spans="27:45" s="10" customFormat="1" x14ac:dyDescent="0.3">
      <c r="AA218" s="1"/>
      <c r="AB218" s="1"/>
      <c r="AC218" s="1"/>
      <c r="AD218" s="1"/>
      <c r="AE218" s="1"/>
      <c r="AF218" s="1"/>
      <c r="AG218" s="1"/>
      <c r="AH218" s="1"/>
      <c r="AI218" s="1"/>
      <c r="AJ218" s="1"/>
      <c r="AK218" s="1"/>
      <c r="AL218" s="1"/>
      <c r="AM218" s="1"/>
      <c r="AN218" s="1"/>
      <c r="AO218" s="1"/>
      <c r="AP218" s="1"/>
      <c r="AQ218" s="1"/>
      <c r="AR218" s="1"/>
      <c r="AS218" s="1"/>
    </row>
    <row r="219" spans="27:45" s="10" customFormat="1" x14ac:dyDescent="0.3">
      <c r="AA219" s="1"/>
      <c r="AB219" s="1"/>
      <c r="AC219" s="1"/>
      <c r="AD219" s="1"/>
      <c r="AE219" s="1"/>
      <c r="AF219" s="1"/>
      <c r="AG219" s="1"/>
      <c r="AH219" s="1"/>
      <c r="AI219" s="1"/>
      <c r="AJ219" s="1"/>
      <c r="AK219" s="1"/>
      <c r="AL219" s="1"/>
      <c r="AM219" s="1"/>
      <c r="AN219" s="1"/>
      <c r="AO219" s="1"/>
      <c r="AP219" s="1"/>
      <c r="AQ219" s="1"/>
      <c r="AR219" s="1"/>
      <c r="AS219" s="1"/>
    </row>
    <row r="220" spans="27:45" s="10" customFormat="1" x14ac:dyDescent="0.3">
      <c r="AA220" s="1"/>
      <c r="AB220" s="1"/>
      <c r="AC220" s="1"/>
      <c r="AD220" s="1"/>
      <c r="AE220" s="1"/>
      <c r="AF220" s="1"/>
      <c r="AG220" s="1"/>
      <c r="AH220" s="1"/>
      <c r="AI220" s="1"/>
      <c r="AJ220" s="1"/>
      <c r="AK220" s="1"/>
      <c r="AL220" s="1"/>
      <c r="AM220" s="1"/>
      <c r="AN220" s="1"/>
      <c r="AO220" s="1"/>
      <c r="AP220" s="1"/>
      <c r="AQ220" s="1"/>
      <c r="AR220" s="1"/>
      <c r="AS220" s="1"/>
    </row>
    <row r="221" spans="27:45" s="10" customFormat="1" x14ac:dyDescent="0.3">
      <c r="AA221" s="1"/>
      <c r="AB221" s="1"/>
      <c r="AC221" s="1"/>
      <c r="AD221" s="1"/>
      <c r="AE221" s="1"/>
      <c r="AF221" s="1"/>
      <c r="AG221" s="1"/>
      <c r="AH221" s="1"/>
      <c r="AI221" s="1"/>
      <c r="AJ221" s="1"/>
      <c r="AK221" s="1"/>
      <c r="AL221" s="1"/>
      <c r="AM221" s="1"/>
      <c r="AN221" s="1"/>
      <c r="AO221" s="1"/>
      <c r="AP221" s="1"/>
      <c r="AQ221" s="1"/>
      <c r="AR221" s="1"/>
      <c r="AS221" s="1"/>
    </row>
    <row r="222" spans="27:45" s="10" customFormat="1" x14ac:dyDescent="0.3">
      <c r="AA222" s="1"/>
      <c r="AB222" s="1"/>
      <c r="AC222" s="1"/>
      <c r="AD222" s="1"/>
      <c r="AE222" s="1"/>
      <c r="AF222" s="1"/>
      <c r="AG222" s="1"/>
      <c r="AH222" s="1"/>
      <c r="AI222" s="1"/>
      <c r="AJ222" s="1"/>
      <c r="AK222" s="1"/>
      <c r="AL222" s="1"/>
      <c r="AM222" s="1"/>
      <c r="AN222" s="1"/>
      <c r="AO222" s="1"/>
      <c r="AP222" s="1"/>
      <c r="AQ222" s="1"/>
      <c r="AR222" s="1"/>
      <c r="AS222" s="1"/>
    </row>
    <row r="223" spans="27:45" s="10" customFormat="1" x14ac:dyDescent="0.3">
      <c r="AA223" s="1"/>
      <c r="AB223" s="1"/>
      <c r="AC223" s="1"/>
      <c r="AD223" s="1"/>
      <c r="AE223" s="1"/>
      <c r="AF223" s="1"/>
      <c r="AG223" s="1"/>
      <c r="AH223" s="1"/>
      <c r="AI223" s="1"/>
      <c r="AJ223" s="1"/>
      <c r="AK223" s="1"/>
      <c r="AL223" s="1"/>
      <c r="AM223" s="1"/>
      <c r="AN223" s="1"/>
      <c r="AO223" s="1"/>
      <c r="AP223" s="1"/>
      <c r="AQ223" s="1"/>
      <c r="AR223" s="1"/>
      <c r="AS223" s="1"/>
    </row>
    <row r="224" spans="27:45" s="10" customFormat="1" x14ac:dyDescent="0.3">
      <c r="AA224" s="1"/>
      <c r="AB224" s="1"/>
      <c r="AC224" s="1"/>
      <c r="AD224" s="1"/>
      <c r="AE224" s="1"/>
      <c r="AF224" s="1"/>
      <c r="AG224" s="1"/>
      <c r="AH224" s="1"/>
      <c r="AI224" s="1"/>
      <c r="AJ224" s="1"/>
      <c r="AK224" s="1"/>
      <c r="AL224" s="1"/>
      <c r="AM224" s="1"/>
      <c r="AN224" s="1"/>
      <c r="AO224" s="1"/>
      <c r="AP224" s="1"/>
      <c r="AQ224" s="1"/>
      <c r="AR224" s="1"/>
      <c r="AS224" s="1"/>
    </row>
    <row r="225" spans="27:45" s="10" customFormat="1" x14ac:dyDescent="0.3">
      <c r="AA225" s="1"/>
      <c r="AB225" s="1"/>
      <c r="AC225" s="1"/>
      <c r="AD225" s="1"/>
      <c r="AE225" s="1"/>
      <c r="AF225" s="1"/>
      <c r="AG225" s="1"/>
      <c r="AH225" s="1"/>
      <c r="AI225" s="1"/>
      <c r="AJ225" s="1"/>
      <c r="AK225" s="1"/>
      <c r="AL225" s="1"/>
      <c r="AM225" s="1"/>
      <c r="AN225" s="1"/>
      <c r="AO225" s="1"/>
      <c r="AP225" s="1"/>
      <c r="AQ225" s="1"/>
      <c r="AR225" s="1"/>
      <c r="AS225" s="1"/>
    </row>
    <row r="226" spans="27:45" s="10" customFormat="1" x14ac:dyDescent="0.3">
      <c r="AA226" s="1"/>
      <c r="AB226" s="1"/>
      <c r="AC226" s="1"/>
      <c r="AD226" s="1"/>
      <c r="AE226" s="1"/>
      <c r="AF226" s="1"/>
      <c r="AG226" s="1"/>
      <c r="AH226" s="1"/>
      <c r="AI226" s="1"/>
      <c r="AJ226" s="1"/>
      <c r="AK226" s="1"/>
      <c r="AL226" s="1"/>
      <c r="AM226" s="1"/>
      <c r="AN226" s="1"/>
      <c r="AO226" s="1"/>
      <c r="AP226" s="1"/>
      <c r="AQ226" s="1"/>
      <c r="AR226" s="1"/>
      <c r="AS226" s="1"/>
    </row>
    <row r="227" spans="27:45" s="10" customFormat="1" x14ac:dyDescent="0.3">
      <c r="AA227" s="1"/>
      <c r="AB227" s="1"/>
      <c r="AC227" s="1"/>
      <c r="AD227" s="1"/>
      <c r="AE227" s="1"/>
      <c r="AF227" s="1"/>
      <c r="AG227" s="1"/>
      <c r="AH227" s="1"/>
      <c r="AI227" s="1"/>
      <c r="AJ227" s="1"/>
      <c r="AK227" s="1"/>
      <c r="AL227" s="1"/>
      <c r="AM227" s="1"/>
      <c r="AN227" s="1"/>
      <c r="AO227" s="1"/>
      <c r="AP227" s="1"/>
      <c r="AQ227" s="1"/>
      <c r="AR227" s="1"/>
      <c r="AS227" s="1"/>
    </row>
    <row r="228" spans="27:45" s="10" customFormat="1" x14ac:dyDescent="0.3">
      <c r="AA228" s="1"/>
      <c r="AB228" s="1"/>
      <c r="AC228" s="1"/>
      <c r="AD228" s="1"/>
      <c r="AE228" s="1"/>
      <c r="AF228" s="1"/>
      <c r="AG228" s="1"/>
      <c r="AH228" s="1"/>
      <c r="AI228" s="1"/>
      <c r="AJ228" s="1"/>
      <c r="AK228" s="1"/>
      <c r="AL228" s="1"/>
      <c r="AM228" s="1"/>
      <c r="AN228" s="1"/>
      <c r="AO228" s="1"/>
      <c r="AP228" s="1"/>
      <c r="AQ228" s="1"/>
      <c r="AR228" s="1"/>
      <c r="AS228" s="1"/>
    </row>
    <row r="229" spans="27:45" s="10" customFormat="1" x14ac:dyDescent="0.3">
      <c r="AA229" s="1"/>
      <c r="AB229" s="1"/>
      <c r="AC229" s="1"/>
      <c r="AD229" s="1"/>
      <c r="AE229" s="1"/>
      <c r="AF229" s="1"/>
      <c r="AG229" s="1"/>
      <c r="AH229" s="1"/>
      <c r="AI229" s="1"/>
      <c r="AJ229" s="1"/>
      <c r="AK229" s="1"/>
      <c r="AL229" s="1"/>
      <c r="AM229" s="1"/>
      <c r="AN229" s="1"/>
      <c r="AO229" s="1"/>
      <c r="AP229" s="1"/>
      <c r="AQ229" s="1"/>
      <c r="AR229" s="1"/>
      <c r="AS229" s="1"/>
    </row>
    <row r="230" spans="27:45" s="10" customFormat="1" x14ac:dyDescent="0.3">
      <c r="AA230" s="1"/>
      <c r="AB230" s="1"/>
      <c r="AC230" s="1"/>
      <c r="AD230" s="1"/>
      <c r="AE230" s="1"/>
      <c r="AF230" s="1"/>
      <c r="AG230" s="1"/>
      <c r="AH230" s="1"/>
      <c r="AI230" s="1"/>
      <c r="AJ230" s="1"/>
      <c r="AK230" s="1"/>
      <c r="AL230" s="1"/>
      <c r="AM230" s="1"/>
      <c r="AN230" s="1"/>
      <c r="AO230" s="1"/>
      <c r="AP230" s="1"/>
      <c r="AQ230" s="1"/>
      <c r="AR230" s="1"/>
      <c r="AS230" s="1"/>
    </row>
    <row r="231" spans="27:45" s="10" customFormat="1" x14ac:dyDescent="0.3">
      <c r="AA231" s="1"/>
      <c r="AB231" s="1"/>
      <c r="AC231" s="1"/>
      <c r="AD231" s="1"/>
      <c r="AE231" s="1"/>
      <c r="AF231" s="1"/>
      <c r="AG231" s="1"/>
      <c r="AH231" s="1"/>
      <c r="AI231" s="1"/>
      <c r="AJ231" s="1"/>
      <c r="AK231" s="1"/>
      <c r="AL231" s="1"/>
      <c r="AM231" s="1"/>
      <c r="AN231" s="1"/>
      <c r="AO231" s="1"/>
      <c r="AP231" s="1"/>
      <c r="AQ231" s="1"/>
      <c r="AR231" s="1"/>
      <c r="AS231" s="1"/>
    </row>
    <row r="232" spans="27:45" s="10" customFormat="1" x14ac:dyDescent="0.3">
      <c r="AA232" s="1"/>
      <c r="AB232" s="1"/>
      <c r="AC232" s="1"/>
      <c r="AD232" s="1"/>
      <c r="AE232" s="1"/>
      <c r="AF232" s="1"/>
      <c r="AG232" s="1"/>
      <c r="AH232" s="1"/>
      <c r="AI232" s="1"/>
      <c r="AJ232" s="1"/>
      <c r="AK232" s="1"/>
      <c r="AL232" s="1"/>
      <c r="AM232" s="1"/>
      <c r="AN232" s="1"/>
      <c r="AO232" s="1"/>
      <c r="AP232" s="1"/>
      <c r="AQ232" s="1"/>
      <c r="AR232" s="1"/>
      <c r="AS232" s="1"/>
    </row>
    <row r="233" spans="27:45" s="10" customFormat="1" x14ac:dyDescent="0.3">
      <c r="AA233" s="1"/>
      <c r="AB233" s="1"/>
      <c r="AC233" s="1"/>
      <c r="AD233" s="1"/>
      <c r="AE233" s="1"/>
      <c r="AF233" s="1"/>
      <c r="AG233" s="1"/>
      <c r="AH233" s="1"/>
      <c r="AI233" s="1"/>
      <c r="AJ233" s="1"/>
      <c r="AK233" s="1"/>
      <c r="AL233" s="1"/>
      <c r="AM233" s="1"/>
      <c r="AN233" s="1"/>
      <c r="AO233" s="1"/>
      <c r="AP233" s="1"/>
      <c r="AQ233" s="1"/>
      <c r="AR233" s="1"/>
      <c r="AS233" s="1"/>
    </row>
    <row r="234" spans="27:45" s="10" customFormat="1" x14ac:dyDescent="0.3">
      <c r="AA234" s="1"/>
      <c r="AB234" s="1"/>
      <c r="AC234" s="1"/>
      <c r="AD234" s="1"/>
      <c r="AE234" s="1"/>
      <c r="AF234" s="1"/>
      <c r="AG234" s="1"/>
      <c r="AH234" s="1"/>
      <c r="AI234" s="1"/>
      <c r="AJ234" s="1"/>
      <c r="AK234" s="1"/>
      <c r="AL234" s="1"/>
      <c r="AM234" s="1"/>
      <c r="AN234" s="1"/>
      <c r="AO234" s="1"/>
      <c r="AP234" s="1"/>
      <c r="AQ234" s="1"/>
      <c r="AR234" s="1"/>
      <c r="AS234" s="1"/>
    </row>
    <row r="235" spans="27:45" s="10" customFormat="1" x14ac:dyDescent="0.3">
      <c r="AA235" s="1"/>
      <c r="AB235" s="1"/>
      <c r="AC235" s="1"/>
      <c r="AD235" s="1"/>
      <c r="AE235" s="1"/>
      <c r="AF235" s="1"/>
      <c r="AG235" s="1"/>
      <c r="AH235" s="1"/>
      <c r="AI235" s="1"/>
      <c r="AJ235" s="1"/>
      <c r="AK235" s="1"/>
      <c r="AL235" s="1"/>
      <c r="AM235" s="1"/>
      <c r="AN235" s="1"/>
      <c r="AO235" s="1"/>
      <c r="AP235" s="1"/>
      <c r="AQ235" s="1"/>
      <c r="AR235" s="1"/>
      <c r="AS235" s="1"/>
    </row>
    <row r="236" spans="27:45" s="10" customFormat="1" x14ac:dyDescent="0.3">
      <c r="AA236" s="1"/>
      <c r="AB236" s="1"/>
      <c r="AC236" s="1"/>
      <c r="AD236" s="1"/>
      <c r="AE236" s="1"/>
      <c r="AF236" s="1"/>
      <c r="AG236" s="1"/>
      <c r="AH236" s="1"/>
      <c r="AI236" s="1"/>
      <c r="AJ236" s="1"/>
      <c r="AK236" s="1"/>
      <c r="AL236" s="1"/>
      <c r="AM236" s="1"/>
      <c r="AN236" s="1"/>
      <c r="AO236" s="1"/>
      <c r="AP236" s="1"/>
      <c r="AQ236" s="1"/>
      <c r="AR236" s="1"/>
      <c r="AS236" s="1"/>
    </row>
    <row r="237" spans="27:45" s="10" customFormat="1" x14ac:dyDescent="0.3">
      <c r="AA237" s="1"/>
      <c r="AB237" s="1"/>
      <c r="AC237" s="1"/>
      <c r="AD237" s="1"/>
      <c r="AE237" s="1"/>
      <c r="AF237" s="1"/>
      <c r="AG237" s="1"/>
      <c r="AH237" s="1"/>
      <c r="AI237" s="1"/>
      <c r="AJ237" s="1"/>
      <c r="AK237" s="1"/>
      <c r="AL237" s="1"/>
      <c r="AM237" s="1"/>
      <c r="AN237" s="1"/>
      <c r="AO237" s="1"/>
      <c r="AP237" s="1"/>
      <c r="AQ237" s="1"/>
      <c r="AR237" s="1"/>
      <c r="AS237" s="1"/>
    </row>
    <row r="238" spans="27:45" s="10" customFormat="1" x14ac:dyDescent="0.3">
      <c r="AA238" s="1"/>
      <c r="AB238" s="1"/>
      <c r="AC238" s="1"/>
      <c r="AD238" s="1"/>
      <c r="AE238" s="1"/>
      <c r="AF238" s="1"/>
      <c r="AG238" s="1"/>
      <c r="AH238" s="1"/>
      <c r="AI238" s="1"/>
      <c r="AJ238" s="1"/>
      <c r="AK238" s="1"/>
      <c r="AL238" s="1"/>
      <c r="AM238" s="1"/>
      <c r="AN238" s="1"/>
      <c r="AO238" s="1"/>
      <c r="AP238" s="1"/>
      <c r="AQ238" s="1"/>
      <c r="AR238" s="1"/>
      <c r="AS238" s="1"/>
    </row>
    <row r="239" spans="27:45" s="10" customFormat="1" x14ac:dyDescent="0.3">
      <c r="AA239" s="1"/>
      <c r="AB239" s="1"/>
      <c r="AC239" s="1"/>
      <c r="AD239" s="1"/>
      <c r="AE239" s="1"/>
      <c r="AF239" s="1"/>
      <c r="AG239" s="1"/>
      <c r="AH239" s="1"/>
      <c r="AI239" s="1"/>
      <c r="AJ239" s="1"/>
      <c r="AK239" s="1"/>
      <c r="AL239" s="1"/>
      <c r="AM239" s="1"/>
      <c r="AN239" s="1"/>
      <c r="AO239" s="1"/>
      <c r="AP239" s="1"/>
      <c r="AQ239" s="1"/>
      <c r="AR239" s="1"/>
      <c r="AS239" s="1"/>
    </row>
    <row r="240" spans="27:45" s="10" customFormat="1" x14ac:dyDescent="0.3">
      <c r="AA240" s="1"/>
      <c r="AB240" s="1"/>
      <c r="AC240" s="1"/>
      <c r="AD240" s="1"/>
      <c r="AE240" s="1"/>
      <c r="AF240" s="1"/>
      <c r="AG240" s="1"/>
      <c r="AH240" s="1"/>
      <c r="AI240" s="1"/>
      <c r="AJ240" s="1"/>
      <c r="AK240" s="1"/>
      <c r="AL240" s="1"/>
      <c r="AM240" s="1"/>
      <c r="AN240" s="1"/>
      <c r="AO240" s="1"/>
      <c r="AP240" s="1"/>
      <c r="AQ240" s="1"/>
      <c r="AR240" s="1"/>
      <c r="AS240" s="1"/>
    </row>
    <row r="241" spans="27:45" s="10" customFormat="1" x14ac:dyDescent="0.3">
      <c r="AA241" s="1"/>
      <c r="AB241" s="1"/>
      <c r="AC241" s="1"/>
      <c r="AD241" s="1"/>
      <c r="AE241" s="1"/>
      <c r="AF241" s="1"/>
      <c r="AG241" s="1"/>
      <c r="AH241" s="1"/>
      <c r="AI241" s="1"/>
      <c r="AJ241" s="1"/>
      <c r="AK241" s="1"/>
      <c r="AL241" s="1"/>
      <c r="AM241" s="1"/>
      <c r="AN241" s="1"/>
      <c r="AO241" s="1"/>
      <c r="AP241" s="1"/>
      <c r="AQ241" s="1"/>
      <c r="AR241" s="1"/>
      <c r="AS241" s="1"/>
    </row>
    <row r="242" spans="27:45" s="10" customFormat="1" x14ac:dyDescent="0.3">
      <c r="AA242" s="1"/>
      <c r="AB242" s="1"/>
      <c r="AC242" s="1"/>
      <c r="AD242" s="1"/>
      <c r="AE242" s="1"/>
      <c r="AF242" s="1"/>
      <c r="AG242" s="1"/>
      <c r="AH242" s="1"/>
      <c r="AI242" s="1"/>
      <c r="AJ242" s="1"/>
      <c r="AK242" s="1"/>
      <c r="AL242" s="1"/>
      <c r="AM242" s="1"/>
      <c r="AN242" s="1"/>
      <c r="AO242" s="1"/>
      <c r="AP242" s="1"/>
      <c r="AQ242" s="1"/>
      <c r="AR242" s="1"/>
      <c r="AS242" s="1"/>
    </row>
    <row r="243" spans="27:45" s="10" customFormat="1" x14ac:dyDescent="0.3">
      <c r="AA243" s="1"/>
      <c r="AB243" s="1"/>
      <c r="AC243" s="1"/>
      <c r="AD243" s="1"/>
      <c r="AE243" s="1"/>
      <c r="AF243" s="1"/>
      <c r="AG243" s="1"/>
      <c r="AH243" s="1"/>
      <c r="AI243" s="1"/>
      <c r="AJ243" s="1"/>
      <c r="AK243" s="1"/>
      <c r="AL243" s="1"/>
      <c r="AM243" s="1"/>
      <c r="AN243" s="1"/>
      <c r="AO243" s="1"/>
      <c r="AP243" s="1"/>
      <c r="AQ243" s="1"/>
      <c r="AR243" s="1"/>
      <c r="AS243" s="1"/>
    </row>
    <row r="244" spans="27:45" s="10" customFormat="1" x14ac:dyDescent="0.3">
      <c r="AA244" s="1"/>
      <c r="AB244" s="1"/>
      <c r="AC244" s="1"/>
      <c r="AD244" s="1"/>
      <c r="AE244" s="1"/>
      <c r="AF244" s="1"/>
      <c r="AG244" s="1"/>
      <c r="AH244" s="1"/>
      <c r="AI244" s="1"/>
      <c r="AJ244" s="1"/>
      <c r="AK244" s="1"/>
      <c r="AL244" s="1"/>
      <c r="AM244" s="1"/>
      <c r="AN244" s="1"/>
      <c r="AO244" s="1"/>
      <c r="AP244" s="1"/>
      <c r="AQ244" s="1"/>
      <c r="AR244" s="1"/>
      <c r="AS244" s="1"/>
    </row>
    <row r="245" spans="27:45" s="10" customFormat="1" x14ac:dyDescent="0.3">
      <c r="AA245" s="1"/>
      <c r="AB245" s="1"/>
      <c r="AC245" s="1"/>
      <c r="AD245" s="1"/>
      <c r="AE245" s="1"/>
      <c r="AF245" s="1"/>
      <c r="AG245" s="1"/>
      <c r="AH245" s="1"/>
      <c r="AI245" s="1"/>
      <c r="AJ245" s="1"/>
      <c r="AK245" s="1"/>
      <c r="AL245" s="1"/>
      <c r="AM245" s="1"/>
      <c r="AN245" s="1"/>
      <c r="AO245" s="1"/>
      <c r="AP245" s="1"/>
      <c r="AQ245" s="1"/>
      <c r="AR245" s="1"/>
      <c r="AS245" s="1"/>
    </row>
    <row r="246" spans="27:45" s="10" customFormat="1" x14ac:dyDescent="0.3">
      <c r="AA246" s="1"/>
      <c r="AB246" s="1"/>
      <c r="AC246" s="1"/>
      <c r="AD246" s="1"/>
      <c r="AE246" s="1"/>
      <c r="AF246" s="1"/>
      <c r="AG246" s="1"/>
      <c r="AH246" s="1"/>
      <c r="AI246" s="1"/>
      <c r="AJ246" s="1"/>
      <c r="AK246" s="1"/>
      <c r="AL246" s="1"/>
      <c r="AM246" s="1"/>
      <c r="AN246" s="1"/>
      <c r="AO246" s="1"/>
      <c r="AP246" s="1"/>
      <c r="AQ246" s="1"/>
      <c r="AR246" s="1"/>
      <c r="AS246" s="1"/>
    </row>
    <row r="247" spans="27:45" s="10" customFormat="1" x14ac:dyDescent="0.3">
      <c r="AA247" s="1"/>
      <c r="AB247" s="1"/>
      <c r="AC247" s="1"/>
      <c r="AD247" s="1"/>
      <c r="AE247" s="1"/>
      <c r="AF247" s="1"/>
      <c r="AG247" s="1"/>
      <c r="AH247" s="1"/>
      <c r="AI247" s="1"/>
      <c r="AJ247" s="1"/>
      <c r="AK247" s="1"/>
      <c r="AL247" s="1"/>
      <c r="AM247" s="1"/>
      <c r="AN247" s="1"/>
      <c r="AO247" s="1"/>
      <c r="AP247" s="1"/>
      <c r="AQ247" s="1"/>
      <c r="AR247" s="1"/>
      <c r="AS247" s="1"/>
    </row>
    <row r="248" spans="27:45" s="10" customFormat="1" x14ac:dyDescent="0.3">
      <c r="AA248" s="1"/>
      <c r="AB248" s="1"/>
      <c r="AC248" s="1"/>
      <c r="AD248" s="1"/>
      <c r="AE248" s="1"/>
      <c r="AF248" s="1"/>
      <c r="AG248" s="1"/>
      <c r="AH248" s="1"/>
      <c r="AI248" s="1"/>
      <c r="AJ248" s="1"/>
      <c r="AK248" s="1"/>
      <c r="AL248" s="1"/>
      <c r="AM248" s="1"/>
      <c r="AN248" s="1"/>
      <c r="AO248" s="1"/>
      <c r="AP248" s="1"/>
      <c r="AQ248" s="1"/>
      <c r="AR248" s="1"/>
      <c r="AS248" s="1"/>
    </row>
    <row r="249" spans="27:45" s="10" customFormat="1" x14ac:dyDescent="0.3">
      <c r="AA249" s="1"/>
      <c r="AB249" s="1"/>
      <c r="AC249" s="1"/>
      <c r="AD249" s="1"/>
      <c r="AE249" s="1"/>
      <c r="AF249" s="1"/>
      <c r="AG249" s="1"/>
      <c r="AH249" s="1"/>
      <c r="AI249" s="1"/>
      <c r="AJ249" s="1"/>
      <c r="AK249" s="1"/>
      <c r="AL249" s="1"/>
      <c r="AM249" s="1"/>
      <c r="AN249" s="1"/>
      <c r="AO249" s="1"/>
      <c r="AP249" s="1"/>
      <c r="AQ249" s="1"/>
      <c r="AR249" s="1"/>
      <c r="AS249" s="1"/>
    </row>
    <row r="250" spans="27:45" s="10" customFormat="1" x14ac:dyDescent="0.3">
      <c r="AA250" s="1"/>
      <c r="AB250" s="1"/>
      <c r="AC250" s="1"/>
      <c r="AD250" s="1"/>
      <c r="AE250" s="1"/>
      <c r="AF250" s="1"/>
      <c r="AG250" s="1"/>
      <c r="AH250" s="1"/>
      <c r="AI250" s="1"/>
      <c r="AJ250" s="1"/>
      <c r="AK250" s="1"/>
      <c r="AL250" s="1"/>
      <c r="AM250" s="1"/>
      <c r="AN250" s="1"/>
      <c r="AO250" s="1"/>
      <c r="AP250" s="1"/>
      <c r="AQ250" s="1"/>
      <c r="AR250" s="1"/>
      <c r="AS250" s="1"/>
    </row>
    <row r="251" spans="27:45" s="10" customFormat="1" x14ac:dyDescent="0.3">
      <c r="AA251" s="1"/>
      <c r="AB251" s="1"/>
      <c r="AC251" s="1"/>
      <c r="AD251" s="1"/>
      <c r="AE251" s="1"/>
      <c r="AF251" s="1"/>
      <c r="AG251" s="1"/>
      <c r="AH251" s="1"/>
      <c r="AI251" s="1"/>
      <c r="AJ251" s="1"/>
      <c r="AK251" s="1"/>
      <c r="AL251" s="1"/>
      <c r="AM251" s="1"/>
      <c r="AN251" s="1"/>
      <c r="AO251" s="1"/>
      <c r="AP251" s="1"/>
      <c r="AQ251" s="1"/>
      <c r="AR251" s="1"/>
      <c r="AS251" s="1"/>
    </row>
    <row r="252" spans="27:45" s="10" customFormat="1" x14ac:dyDescent="0.3">
      <c r="AA252" s="1"/>
      <c r="AB252" s="1"/>
      <c r="AC252" s="1"/>
      <c r="AD252" s="1"/>
      <c r="AE252" s="1"/>
      <c r="AF252" s="1"/>
      <c r="AG252" s="1"/>
      <c r="AH252" s="1"/>
      <c r="AI252" s="1"/>
      <c r="AJ252" s="1"/>
      <c r="AK252" s="1"/>
      <c r="AL252" s="1"/>
      <c r="AM252" s="1"/>
      <c r="AN252" s="1"/>
      <c r="AO252" s="1"/>
      <c r="AP252" s="1"/>
      <c r="AQ252" s="1"/>
      <c r="AR252" s="1"/>
      <c r="AS252" s="1"/>
    </row>
    <row r="253" spans="27:45" s="10" customFormat="1" x14ac:dyDescent="0.3">
      <c r="AA253" s="1"/>
      <c r="AB253" s="1"/>
      <c r="AC253" s="1"/>
      <c r="AD253" s="1"/>
      <c r="AE253" s="1"/>
      <c r="AF253" s="1"/>
      <c r="AG253" s="1"/>
      <c r="AH253" s="1"/>
      <c r="AI253" s="1"/>
      <c r="AJ253" s="1"/>
      <c r="AK253" s="1"/>
      <c r="AL253" s="1"/>
      <c r="AM253" s="1"/>
      <c r="AN253" s="1"/>
      <c r="AO253" s="1"/>
      <c r="AP253" s="1"/>
      <c r="AQ253" s="1"/>
      <c r="AR253" s="1"/>
      <c r="AS253" s="1"/>
    </row>
    <row r="254" spans="27:45" s="10" customFormat="1" x14ac:dyDescent="0.3">
      <c r="AA254" s="1"/>
      <c r="AB254" s="1"/>
      <c r="AC254" s="1"/>
      <c r="AD254" s="1"/>
      <c r="AE254" s="1"/>
      <c r="AF254" s="1"/>
      <c r="AG254" s="1"/>
      <c r="AH254" s="1"/>
      <c r="AI254" s="1"/>
      <c r="AJ254" s="1"/>
      <c r="AK254" s="1"/>
      <c r="AL254" s="1"/>
      <c r="AM254" s="1"/>
      <c r="AN254" s="1"/>
      <c r="AO254" s="1"/>
      <c r="AP254" s="1"/>
      <c r="AQ254" s="1"/>
      <c r="AR254" s="1"/>
      <c r="AS254" s="1"/>
    </row>
    <row r="255" spans="27:45" s="10" customFormat="1" x14ac:dyDescent="0.3">
      <c r="AA255" s="1"/>
      <c r="AB255" s="1"/>
      <c r="AC255" s="1"/>
      <c r="AD255" s="1"/>
      <c r="AE255" s="1"/>
      <c r="AF255" s="1"/>
      <c r="AG255" s="1"/>
      <c r="AH255" s="1"/>
      <c r="AI255" s="1"/>
      <c r="AJ255" s="1"/>
      <c r="AK255" s="1"/>
      <c r="AL255" s="1"/>
      <c r="AM255" s="1"/>
      <c r="AN255" s="1"/>
      <c r="AO255" s="1"/>
      <c r="AP255" s="1"/>
      <c r="AQ255" s="1"/>
      <c r="AR255" s="1"/>
      <c r="AS255" s="1"/>
    </row>
    <row r="256" spans="27:45" s="10" customFormat="1" x14ac:dyDescent="0.3">
      <c r="AA256" s="1"/>
      <c r="AB256" s="1"/>
      <c r="AC256" s="1"/>
      <c r="AD256" s="1"/>
      <c r="AE256" s="1"/>
      <c r="AF256" s="1"/>
      <c r="AG256" s="1"/>
      <c r="AH256" s="1"/>
      <c r="AI256" s="1"/>
      <c r="AJ256" s="1"/>
      <c r="AK256" s="1"/>
      <c r="AL256" s="1"/>
      <c r="AM256" s="1"/>
      <c r="AN256" s="1"/>
      <c r="AO256" s="1"/>
      <c r="AP256" s="1"/>
      <c r="AQ256" s="1"/>
      <c r="AR256" s="1"/>
      <c r="AS256" s="1"/>
    </row>
    <row r="257" spans="1:45" s="10" customFormat="1" x14ac:dyDescent="0.3">
      <c r="AA257" s="1"/>
      <c r="AB257" s="1"/>
      <c r="AC257" s="1"/>
      <c r="AD257" s="1"/>
      <c r="AE257" s="1"/>
      <c r="AF257" s="1"/>
      <c r="AG257" s="1"/>
      <c r="AH257" s="1"/>
      <c r="AI257" s="1"/>
      <c r="AJ257" s="1"/>
      <c r="AK257" s="1"/>
      <c r="AL257" s="1"/>
      <c r="AM257" s="1"/>
      <c r="AN257" s="1"/>
      <c r="AO257" s="1"/>
      <c r="AP257" s="1"/>
      <c r="AQ257" s="1"/>
      <c r="AR257" s="1"/>
      <c r="AS257" s="1"/>
    </row>
    <row r="258" spans="1:45" s="10" customFormat="1" x14ac:dyDescent="0.3">
      <c r="AA258" s="1"/>
      <c r="AB258" s="1"/>
      <c r="AC258" s="1"/>
      <c r="AD258" s="1"/>
      <c r="AE258" s="1"/>
      <c r="AF258" s="1"/>
      <c r="AG258" s="1"/>
      <c r="AH258" s="1"/>
      <c r="AI258" s="1"/>
      <c r="AJ258" s="1"/>
      <c r="AK258" s="1"/>
      <c r="AL258" s="1"/>
      <c r="AM258" s="1"/>
      <c r="AN258" s="1"/>
      <c r="AO258" s="1"/>
      <c r="AP258" s="1"/>
      <c r="AQ258" s="1"/>
      <c r="AR258" s="1"/>
      <c r="AS258" s="1"/>
    </row>
    <row r="259" spans="1:45" s="10" customFormat="1" x14ac:dyDescent="0.3">
      <c r="AA259" s="1"/>
      <c r="AB259" s="1"/>
      <c r="AC259" s="1"/>
      <c r="AD259" s="1"/>
      <c r="AE259" s="1"/>
      <c r="AF259" s="1"/>
      <c r="AG259" s="1"/>
      <c r="AH259" s="1"/>
      <c r="AI259" s="1"/>
      <c r="AJ259" s="1"/>
      <c r="AK259" s="1"/>
      <c r="AL259" s="1"/>
      <c r="AM259" s="1"/>
      <c r="AN259" s="1"/>
      <c r="AO259" s="1"/>
      <c r="AP259" s="1"/>
      <c r="AQ259" s="1"/>
      <c r="AR259" s="1"/>
      <c r="AS259" s="1"/>
    </row>
    <row r="260" spans="1:45" s="10" customFormat="1" x14ac:dyDescent="0.3">
      <c r="AA260" s="1"/>
      <c r="AB260" s="1"/>
      <c r="AC260" s="1"/>
      <c r="AD260" s="1"/>
      <c r="AE260" s="1"/>
      <c r="AF260" s="1"/>
      <c r="AG260" s="1"/>
      <c r="AH260" s="1"/>
      <c r="AI260" s="1"/>
      <c r="AJ260" s="1"/>
      <c r="AK260" s="1"/>
      <c r="AL260" s="1"/>
      <c r="AM260" s="1"/>
      <c r="AN260" s="1"/>
      <c r="AO260" s="1"/>
      <c r="AP260" s="1"/>
      <c r="AQ260" s="1"/>
      <c r="AR260" s="1"/>
      <c r="AS260" s="1"/>
    </row>
    <row r="261" spans="1:45" s="10" customFormat="1" x14ac:dyDescent="0.3">
      <c r="AA261" s="1"/>
      <c r="AB261" s="1"/>
      <c r="AC261" s="1"/>
      <c r="AD261" s="1"/>
      <c r="AE261" s="1"/>
      <c r="AF261" s="1"/>
      <c r="AG261" s="1"/>
      <c r="AH261" s="1"/>
      <c r="AI261" s="1"/>
      <c r="AJ261" s="1"/>
      <c r="AK261" s="1"/>
      <c r="AL261" s="1"/>
      <c r="AM261" s="1"/>
      <c r="AN261" s="1"/>
      <c r="AO261" s="1"/>
      <c r="AP261" s="1"/>
      <c r="AQ261" s="1"/>
      <c r="AR261" s="1"/>
      <c r="AS261" s="1"/>
    </row>
    <row r="262" spans="1:45" s="10" customFormat="1" x14ac:dyDescent="0.3">
      <c r="A262" s="1"/>
      <c r="B262" s="1"/>
      <c r="C262" s="1"/>
      <c r="D262" s="1"/>
      <c r="E262" s="1"/>
      <c r="F262" s="1"/>
      <c r="G262" s="1"/>
      <c r="H262" s="1"/>
      <c r="I262" s="1"/>
      <c r="J262" s="1"/>
      <c r="AA262" s="1"/>
      <c r="AB262" s="1"/>
      <c r="AC262" s="1"/>
      <c r="AD262" s="1"/>
      <c r="AE262" s="1"/>
      <c r="AF262" s="1"/>
      <c r="AG262" s="1"/>
      <c r="AH262" s="1"/>
      <c r="AI262" s="1"/>
      <c r="AJ262" s="1"/>
      <c r="AK262" s="1"/>
      <c r="AL262" s="1"/>
      <c r="AM262" s="1"/>
      <c r="AN262" s="1"/>
      <c r="AO262" s="1"/>
      <c r="AP262" s="1"/>
      <c r="AQ262" s="1"/>
      <c r="AR262" s="1"/>
      <c r="AS262" s="1"/>
    </row>
  </sheetData>
  <conditionalFormatting sqref="A172:L172">
    <cfRule type="colorScale" priority="66">
      <colorScale>
        <cfvo type="min"/>
        <cfvo type="max"/>
        <color theme="6" tint="0.79998168889431442"/>
        <color theme="5" tint="0.39997558519241921"/>
      </colorScale>
    </cfRule>
  </conditionalFormatting>
  <conditionalFormatting sqref="A176:L176">
    <cfRule type="colorScale" priority="65">
      <colorScale>
        <cfvo type="min"/>
        <cfvo type="max"/>
        <color theme="6" tint="0.79998168889431442"/>
        <color theme="5" tint="0.39997558519241921"/>
      </colorScale>
    </cfRule>
  </conditionalFormatting>
  <conditionalFormatting sqref="B167:F167">
    <cfRule type="colorScale" priority="64">
      <colorScale>
        <cfvo type="min"/>
        <cfvo type="max"/>
        <color theme="6" tint="0.79998168889431442"/>
        <color theme="5" tint="0.39997558519241921"/>
      </colorScale>
    </cfRule>
  </conditionalFormatting>
  <conditionalFormatting sqref="C190:O190">
    <cfRule type="colorScale" priority="63">
      <colorScale>
        <cfvo type="min"/>
        <cfvo type="max"/>
        <color theme="6" tint="0.79998168889431442"/>
        <color theme="5" tint="0.39997558519241921"/>
      </colorScale>
    </cfRule>
  </conditionalFormatting>
  <conditionalFormatting sqref="D200:H200">
    <cfRule type="colorScale" priority="62">
      <colorScale>
        <cfvo type="min"/>
        <cfvo type="max"/>
        <color theme="6" tint="0.79998168889431442"/>
        <color theme="5" tint="0.39997558519241921"/>
      </colorScale>
    </cfRule>
  </conditionalFormatting>
  <conditionalFormatting sqref="A206:M206">
    <cfRule type="colorScale" priority="61">
      <colorScale>
        <cfvo type="min"/>
        <cfvo type="max"/>
        <color theme="6" tint="0.79998168889431442"/>
        <color theme="5" tint="0.39997558519241921"/>
      </colorScale>
    </cfRule>
  </conditionalFormatting>
  <conditionalFormatting sqref="B78:L78">
    <cfRule type="colorScale" priority="56">
      <colorScale>
        <cfvo type="min"/>
        <cfvo type="max"/>
        <color theme="6" tint="0.79998168889431442"/>
        <color theme="5" tint="0.39997558519241921"/>
      </colorScale>
    </cfRule>
  </conditionalFormatting>
  <conditionalFormatting sqref="B7:F7">
    <cfRule type="colorScale" priority="54">
      <colorScale>
        <cfvo type="min"/>
        <cfvo type="max"/>
        <color theme="6" tint="0.79998168889431442"/>
        <color theme="5" tint="0.39997558519241921"/>
      </colorScale>
    </cfRule>
  </conditionalFormatting>
  <conditionalFormatting sqref="B119:D119">
    <cfRule type="colorScale" priority="53">
      <colorScale>
        <cfvo type="min"/>
        <cfvo type="max"/>
        <color theme="6" tint="0.79998168889431442"/>
        <color theme="5" tint="0.39997558519241921"/>
      </colorScale>
    </cfRule>
  </conditionalFormatting>
  <conditionalFormatting sqref="D23:G23">
    <cfRule type="colorScale" priority="51">
      <colorScale>
        <cfvo type="min"/>
        <cfvo type="max"/>
        <color theme="6" tint="0.79998168889431442"/>
        <color theme="5" tint="0.39997558519241921"/>
      </colorScale>
    </cfRule>
  </conditionalFormatting>
  <conditionalFormatting sqref="A107:A108">
    <cfRule type="duplicateValues" dxfId="16" priority="46"/>
  </conditionalFormatting>
  <conditionalFormatting sqref="A77:A78">
    <cfRule type="duplicateValues" dxfId="15" priority="43"/>
  </conditionalFormatting>
  <conditionalFormatting sqref="C137:D137">
    <cfRule type="colorScale" priority="41">
      <colorScale>
        <cfvo type="min"/>
        <cfvo type="max"/>
        <color theme="6" tint="0.79998168889431442"/>
        <color theme="5" tint="0.39997558519241921"/>
      </colorScale>
    </cfRule>
  </conditionalFormatting>
  <conditionalFormatting sqref="C142:F142">
    <cfRule type="colorScale" priority="40">
      <colorScale>
        <cfvo type="min"/>
        <cfvo type="max"/>
        <color theme="6" tint="0.79998168889431442"/>
        <color theme="5" tint="0.39997558519241921"/>
      </colorScale>
    </cfRule>
  </conditionalFormatting>
  <conditionalFormatting sqref="B157:I157">
    <cfRule type="colorScale" priority="39">
      <colorScale>
        <cfvo type="min"/>
        <cfvo type="max"/>
        <color theme="6" tint="0.79998168889431442"/>
        <color theme="5" tint="0.39997558519241921"/>
      </colorScale>
    </cfRule>
  </conditionalFormatting>
  <conditionalFormatting sqref="B162:D162">
    <cfRule type="colorScale" priority="38">
      <colorScale>
        <cfvo type="min"/>
        <cfvo type="max"/>
        <color theme="6" tint="0.79998168889431442"/>
        <color theme="5" tint="0.39997558519241921"/>
      </colorScale>
    </cfRule>
  </conditionalFormatting>
  <conditionalFormatting sqref="B180:D180">
    <cfRule type="colorScale" priority="37">
      <colorScale>
        <cfvo type="min"/>
        <cfvo type="max"/>
        <color theme="6" tint="0.79998168889431442"/>
        <color theme="5" tint="0.39997558519241921"/>
      </colorScale>
    </cfRule>
  </conditionalFormatting>
  <conditionalFormatting sqref="C185:I185">
    <cfRule type="colorScale" priority="36">
      <colorScale>
        <cfvo type="min"/>
        <cfvo type="max"/>
        <color theme="6" tint="0.79998168889431442"/>
        <color theme="5" tint="0.39997558519241921"/>
      </colorScale>
    </cfRule>
  </conditionalFormatting>
  <conditionalFormatting sqref="C195:D195">
    <cfRule type="colorScale" priority="35">
      <colorScale>
        <cfvo type="min"/>
        <cfvo type="max"/>
        <color theme="6" tint="0.79998168889431442"/>
        <color theme="5" tint="0.39997558519241921"/>
      </colorScale>
    </cfRule>
  </conditionalFormatting>
  <conditionalFormatting sqref="D28:H28">
    <cfRule type="colorScale" priority="34">
      <colorScale>
        <cfvo type="min"/>
        <cfvo type="max"/>
        <color theme="6" tint="0.79998168889431442"/>
        <color theme="5" tint="0.39997558519241921"/>
      </colorScale>
    </cfRule>
  </conditionalFormatting>
  <conditionalFormatting sqref="D33:J33">
    <cfRule type="colorScale" priority="33">
      <colorScale>
        <cfvo type="min"/>
        <cfvo type="max"/>
        <color theme="6" tint="0.79998168889431442"/>
        <color theme="5" tint="0.39997558519241921"/>
      </colorScale>
    </cfRule>
  </conditionalFormatting>
  <conditionalFormatting sqref="D38:H38">
    <cfRule type="colorScale" priority="32">
      <colorScale>
        <cfvo type="min"/>
        <cfvo type="max"/>
        <color theme="6" tint="0.79998168889431442"/>
        <color theme="5" tint="0.39997558519241921"/>
      </colorScale>
    </cfRule>
  </conditionalFormatting>
  <conditionalFormatting sqref="B18:D18">
    <cfRule type="colorScale" priority="30">
      <colorScale>
        <cfvo type="min"/>
        <cfvo type="max"/>
        <color theme="6" tint="0.79998168889431442"/>
        <color theme="5" tint="0.39997558519241921"/>
      </colorScale>
    </cfRule>
  </conditionalFormatting>
  <conditionalFormatting sqref="B13:E13">
    <cfRule type="colorScale" priority="27">
      <colorScale>
        <cfvo type="min"/>
        <cfvo type="max"/>
        <color theme="6" tint="0.79998168889431442"/>
        <color theme="5" tint="0.39997558519241921"/>
      </colorScale>
    </cfRule>
  </conditionalFormatting>
  <conditionalFormatting sqref="B48:D48">
    <cfRule type="colorScale" priority="24">
      <colorScale>
        <cfvo type="min"/>
        <cfvo type="max"/>
        <color theme="6" tint="0.79998168889431442"/>
        <color theme="5" tint="0.39997558519241921"/>
      </colorScale>
    </cfRule>
  </conditionalFormatting>
  <conditionalFormatting sqref="B43:C43">
    <cfRule type="colorScale" priority="23">
      <colorScale>
        <cfvo type="min"/>
        <cfvo type="max"/>
        <color theme="6" tint="0.79998168889431442"/>
        <color theme="5" tint="0.39997558519241921"/>
      </colorScale>
    </cfRule>
  </conditionalFormatting>
  <conditionalFormatting sqref="B58:D58">
    <cfRule type="colorScale" priority="19">
      <colorScale>
        <cfvo type="min"/>
        <cfvo type="max"/>
        <color theme="6" tint="0.79998168889431442"/>
        <color theme="5" tint="0.39997558519241921"/>
      </colorScale>
    </cfRule>
  </conditionalFormatting>
  <conditionalFormatting sqref="B63:D63">
    <cfRule type="colorScale" priority="18">
      <colorScale>
        <cfvo type="min"/>
        <cfvo type="max"/>
        <color theme="6" tint="0.79998168889431442"/>
        <color theme="5" tint="0.39997558519241921"/>
      </colorScale>
    </cfRule>
  </conditionalFormatting>
  <conditionalFormatting sqref="C68:G68">
    <cfRule type="colorScale" priority="17">
      <colorScale>
        <cfvo type="min"/>
        <cfvo type="max"/>
        <color theme="6" tint="0.79998168889431442"/>
        <color theme="5" tint="0.39997558519241921"/>
      </colorScale>
    </cfRule>
  </conditionalFormatting>
  <conditionalFormatting sqref="B73:D73">
    <cfRule type="colorScale" priority="15">
      <colorScale>
        <cfvo type="min"/>
        <cfvo type="max"/>
        <color theme="6" tint="0.79998168889431442"/>
        <color theme="5" tint="0.39997558519241921"/>
      </colorScale>
    </cfRule>
  </conditionalFormatting>
  <conditionalFormatting sqref="B113:H113">
    <cfRule type="colorScale" priority="11">
      <colorScale>
        <cfvo type="min"/>
        <cfvo type="max"/>
        <color theme="6" tint="0.79998168889431442"/>
        <color theme="5" tint="0.39997558519241921"/>
      </colorScale>
    </cfRule>
  </conditionalFormatting>
  <conditionalFormatting sqref="B88:D88">
    <cfRule type="colorScale" priority="10">
      <colorScale>
        <cfvo type="min"/>
        <cfvo type="max"/>
        <color theme="6" tint="0.79998168889431442"/>
        <color theme="5" tint="0.39997558519241921"/>
      </colorScale>
    </cfRule>
  </conditionalFormatting>
  <conditionalFormatting sqref="C93:F93">
    <cfRule type="colorScale" priority="9">
      <colorScale>
        <cfvo type="min"/>
        <cfvo type="max"/>
        <color theme="6" tint="0.79998168889431442"/>
        <color theme="5" tint="0.39997558519241921"/>
      </colorScale>
    </cfRule>
  </conditionalFormatting>
  <conditionalFormatting sqref="C98:J98">
    <cfRule type="colorScale" priority="8">
      <colorScale>
        <cfvo type="min"/>
        <cfvo type="max"/>
        <color theme="6" tint="0.79998168889431442"/>
        <color theme="5" tint="0.39997558519241921"/>
      </colorScale>
    </cfRule>
  </conditionalFormatting>
  <conditionalFormatting sqref="C103:I103">
    <cfRule type="colorScale" priority="7">
      <colorScale>
        <cfvo type="min"/>
        <cfvo type="max"/>
        <color theme="6" tint="0.79998168889431442"/>
        <color theme="5" tint="0.39997558519241921"/>
      </colorScale>
    </cfRule>
  </conditionalFormatting>
  <conditionalFormatting sqref="B108:H108">
    <cfRule type="colorScale" priority="67">
      <colorScale>
        <cfvo type="min"/>
        <cfvo type="max"/>
        <color theme="6" tint="0.79998168889431442"/>
        <color theme="5" tint="0.39997558519241921"/>
      </colorScale>
    </cfRule>
  </conditionalFormatting>
  <conditionalFormatting sqref="B124:D124">
    <cfRule type="colorScale" priority="6">
      <colorScale>
        <cfvo type="min"/>
        <cfvo type="max"/>
        <color theme="6" tint="0.79998168889431442"/>
        <color theme="5" tint="0.39997558519241921"/>
      </colorScale>
    </cfRule>
  </conditionalFormatting>
  <conditionalFormatting sqref="C129:F129">
    <cfRule type="colorScale" priority="5">
      <colorScale>
        <cfvo type="min"/>
        <cfvo type="max"/>
        <color theme="6" tint="0.79998168889431442"/>
        <color theme="5" tint="0.39997558519241921"/>
      </colorScale>
    </cfRule>
  </conditionalFormatting>
  <conditionalFormatting sqref="E137">
    <cfRule type="colorScale" priority="4">
      <colorScale>
        <cfvo type="min"/>
        <cfvo type="max"/>
        <color theme="6" tint="0.79998168889431442"/>
        <color theme="5" tint="0.39997558519241921"/>
      </colorScale>
    </cfRule>
  </conditionalFormatting>
  <conditionalFormatting sqref="C147:H147">
    <cfRule type="colorScale" priority="3">
      <colorScale>
        <cfvo type="min"/>
        <cfvo type="max"/>
        <color theme="6" tint="0.79998168889431442"/>
        <color theme="5" tint="0.39997558519241921"/>
      </colorScale>
    </cfRule>
  </conditionalFormatting>
  <conditionalFormatting sqref="C152:H152">
    <cfRule type="colorScale" priority="2">
      <colorScale>
        <cfvo type="min"/>
        <cfvo type="max"/>
        <color theme="6" tint="0.79998168889431442"/>
        <color theme="5" tint="0.39997558519241921"/>
      </colorScale>
    </cfRule>
  </conditionalFormatting>
  <conditionalFormatting sqref="D180">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304"/>
  <sheetViews>
    <sheetView zoomScale="80" zoomScaleNormal="80" workbookViewId="0">
      <selection activeCell="H40" sqref="H40"/>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4.1796875" style="10" customWidth="1"/>
    <col min="9" max="9" width="11.7265625" style="10" customWidth="1"/>
    <col min="10" max="10" width="12.453125" style="10" customWidth="1"/>
    <col min="11" max="11" width="12.36328125" style="10" customWidth="1"/>
    <col min="12" max="16384" width="8.81640625" style="10"/>
  </cols>
  <sheetData>
    <row r="2" spans="1:13" ht="15.5" x14ac:dyDescent="0.35">
      <c r="A2" s="9" t="s">
        <v>1294</v>
      </c>
    </row>
    <row r="3" spans="1:13" ht="15.5" x14ac:dyDescent="0.35">
      <c r="A3" s="29" t="s">
        <v>1408</v>
      </c>
      <c r="B3" s="83"/>
      <c r="C3" s="84" t="str">
        <f>IF(COUNTIF('ALINDAO_Cleaned Data'!OK:OK,"hopital_district")=1,"OUI","NON")</f>
        <v>NON</v>
      </c>
    </row>
    <row r="4" spans="1:13" ht="34" customHeight="1" x14ac:dyDescent="0.3">
      <c r="A4" s="155" t="s">
        <v>3318</v>
      </c>
      <c r="B4" s="155"/>
      <c r="C4" s="73">
        <f>COUNTIFS('ALINDAO_Cleaned Data'!N:N,"sante",'ALINDAO_Cleaned Data'!J:J,"ALINDAO")</f>
        <v>2</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COUNTIF('ALINDAO_Cleaned Data'!ON:ON,"oui")</f>
        <v>2</v>
      </c>
      <c r="C9" s="24">
        <f>COUNTIF('ALINDAO_Cleaned Data'!ON:ON,"non")</f>
        <v>0</v>
      </c>
      <c r="D9" s="24">
        <f>COUNTIF('ALINDAO_Cleaned Data'!ON:ON,"partiel")</f>
        <v>0</v>
      </c>
      <c r="E9" s="52">
        <f>SUM(B9+D9)</f>
        <v>2</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6" t="s">
        <v>2033</v>
      </c>
      <c r="D13" s="6" t="s">
        <v>1938</v>
      </c>
      <c r="E13" s="6" t="s">
        <v>2034</v>
      </c>
      <c r="F13" s="6" t="s">
        <v>1939</v>
      </c>
      <c r="G13" s="6" t="s">
        <v>1940</v>
      </c>
      <c r="H13" s="6" t="s">
        <v>2035</v>
      </c>
      <c r="I13" s="6" t="s">
        <v>2036</v>
      </c>
      <c r="J13" s="6" t="s">
        <v>1942</v>
      </c>
      <c r="K13" s="6" t="s">
        <v>1943</v>
      </c>
      <c r="L13" s="6" t="s">
        <v>1905</v>
      </c>
      <c r="M13" s="6" t="s">
        <v>1220</v>
      </c>
    </row>
    <row r="14" spans="1:13" x14ac:dyDescent="0.3">
      <c r="B14" s="3" t="s">
        <v>1207</v>
      </c>
      <c r="C14" s="3">
        <f>COUNTIF('ALINDAO_Cleaned Data'!OS:OS,"1")</f>
        <v>0</v>
      </c>
      <c r="D14" s="3">
        <f>COUNTIF('ALINDAO_Cleaned Data'!OT:OT,"1")</f>
        <v>0</v>
      </c>
      <c r="E14" s="3">
        <f>COUNTIF('ALINDAO_Cleaned Data'!PE:PE,"1")</f>
        <v>0</v>
      </c>
      <c r="F14" s="3">
        <f>COUNTIF('ALINDAO_Cleaned Data'!PF:PF,"1")</f>
        <v>0</v>
      </c>
      <c r="G14" s="3">
        <f>COUNTIF('ALINDAO_Cleaned Data'!PG:PG,"1")</f>
        <v>0</v>
      </c>
      <c r="H14" s="3">
        <f>COUNTIF('ALINDAO_Cleaned Data'!OW:OW,"1")</f>
        <v>0</v>
      </c>
      <c r="I14" s="3">
        <f>COUNTIF('ALINDAO_Cleaned Data'!PH:PH,"1")</f>
        <v>0</v>
      </c>
      <c r="J14" s="3">
        <f>COUNTIF('ALINDAO_Cleaned Data'!PB:PB,"1")</f>
        <v>0</v>
      </c>
      <c r="K14" s="3">
        <f>COUNTIF('ALINDAO_Cleaned Data'!PI:PI,"1")</f>
        <v>0</v>
      </c>
      <c r="L14" s="3">
        <f>COUNTIF('ALINDAO_Cleaned Data'!PC:PC,"1")</f>
        <v>0</v>
      </c>
      <c r="M14" s="3">
        <f>COUNTIF('ALINDAO_Cleaned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COUNTIF('ALINDAO_Cleaned Data'!PK:PK,"moins_six_mois")</f>
        <v>0</v>
      </c>
      <c r="D19" s="3">
        <f>COUNTIF('ALINDAO_Cleaned Data'!PK:PK,"six_mois_un_an ")</f>
        <v>0</v>
      </c>
      <c r="E19" s="3">
        <f>COUNTIF('ALINDAO_Cleaned Data'!PK:PK,"un_an_trois_ans")</f>
        <v>0</v>
      </c>
      <c r="F19" s="3">
        <f>COUNTIF('ALINDAO_Cleaned Data'!PK:PK,"plus_trois_ans")</f>
        <v>0</v>
      </c>
      <c r="G19" s="3">
        <f>COUNTIF('ALINDAO_Cleaned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6" t="s">
        <v>1944</v>
      </c>
      <c r="D23" s="6" t="s">
        <v>2037</v>
      </c>
      <c r="E23" s="6" t="s">
        <v>2038</v>
      </c>
      <c r="F23" s="6" t="s">
        <v>2039</v>
      </c>
      <c r="G23" s="6" t="s">
        <v>2040</v>
      </c>
      <c r="H23" s="6" t="s">
        <v>2041</v>
      </c>
      <c r="I23" s="6" t="s">
        <v>2042</v>
      </c>
      <c r="J23" s="6" t="s">
        <v>2043</v>
      </c>
      <c r="K23" s="6" t="s">
        <v>1905</v>
      </c>
      <c r="L23" s="6" t="s">
        <v>1220</v>
      </c>
    </row>
    <row r="24" spans="1:26" x14ac:dyDescent="0.3">
      <c r="B24" s="24" t="s">
        <v>1207</v>
      </c>
      <c r="C24" s="24">
        <f>COUNTIF('ALINDAO_Cleaned Data'!OO:OO,"infra_endommagee")</f>
        <v>0</v>
      </c>
      <c r="D24" s="24">
        <f>COUNTIF('ALINDAO_Cleaned Data'!OO:OO,"manque_mobilier")</f>
        <v>0</v>
      </c>
      <c r="E24" s="24">
        <f>COUNTIF('ALINDAO_Cleaned Data'!OO:OO,"faibles_capacites_accueil")</f>
        <v>0</v>
      </c>
      <c r="F24" s="24">
        <f>COUNTIF('ALINDAO_Cleaned Data'!OO:OO,"pbs_appro_eau_elec")</f>
        <v>0</v>
      </c>
      <c r="G24" s="24">
        <f>COUNTIF('ALINDAO_Cleaned Data'!OO:OO,"pbs_fin_fonctionnement ")</f>
        <v>0</v>
      </c>
      <c r="H24" s="24">
        <f>COUNTIF('ALINDAO_Cleaned Data'!OO:OO,"pbs_fin_fonctionnement_maintenance")</f>
        <v>0</v>
      </c>
      <c r="I24" s="24">
        <f>COUNTIF('ALINDAO_Cleaned Data'!OO:OO,"pbs_appro_medicaments")</f>
        <v>0</v>
      </c>
      <c r="J24" s="24">
        <f>COUNTIF('ALINDAO_Cleaned Data'!OO:OO,"pbs_personnels_qualifies")</f>
        <v>0</v>
      </c>
      <c r="K24" s="24">
        <f>COUNTIF('ALINDAO_Cleaned Data'!OO:OO,"nsp")</f>
        <v>0</v>
      </c>
      <c r="L24" s="24">
        <f>COUNTIF('ALINDAO_Cleaned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COUNTIF('ALINDAO_Cleaned Data'!OQ:OQ,"moins_six_mois")</f>
        <v>0</v>
      </c>
      <c r="D29" s="3">
        <f>COUNTIF('ALINDAO_Cleaned Data'!OQ:OQ,"six_mois_un_an ")</f>
        <v>0</v>
      </c>
      <c r="E29" s="3">
        <f>COUNTIF('ALINDAO_Cleaned Data'!OQ:OQ,"un_an_trois_ans")</f>
        <v>0</v>
      </c>
      <c r="F29" s="3">
        <f>COUNTIF('ALINDAO_Cleaned Data'!OQ:OQ,"plus_trois_ans")</f>
        <v>0</v>
      </c>
      <c r="G29" s="3">
        <f>COUNTIF('ALINDAO_Cleaned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COUNTIF('ALINDAO_Cleaned Data'!PX:PX,"oui")</f>
        <v>2</v>
      </c>
      <c r="C34" s="3">
        <f>COUNTIF('ALINDAO_Cleaned Data'!PX:PX,"non")</f>
        <v>0</v>
      </c>
      <c r="D34" s="111">
        <f>SUM(B34:C34)</f>
        <v>2</v>
      </c>
    </row>
    <row r="35" spans="1:10" s="36" customFormat="1" ht="37" x14ac:dyDescent="0.3">
      <c r="A35" s="54" t="s">
        <v>3290</v>
      </c>
      <c r="B35" s="94">
        <f>(B34/$E$9)</f>
        <v>1</v>
      </c>
      <c r="C35" s="94">
        <f>(C34/$E$9)</f>
        <v>0</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COUNTIF('ALINDAO_Cleaned Data'!PY:PY,"severes")</f>
        <v>0</v>
      </c>
      <c r="D39" s="77">
        <f>COUNTIF('ALINDAO_Cleaned Data'!PY:PY,"moderes")</f>
        <v>2</v>
      </c>
      <c r="E39" s="77">
        <f>COUNTIF('ALINDAO_Cleaned Data'!PY:PY,"faibles")</f>
        <v>0</v>
      </c>
      <c r="F39" s="111">
        <f>SUM(C39:E39)</f>
        <v>2</v>
      </c>
      <c r="G39" s="74"/>
    </row>
    <row r="40" spans="1:10" ht="47" customHeight="1" x14ac:dyDescent="0.3">
      <c r="B40" s="53" t="s">
        <v>3294</v>
      </c>
      <c r="C40" s="7">
        <f>C39/$B$34</f>
        <v>0</v>
      </c>
      <c r="D40" s="7">
        <f t="shared" ref="D40:E40" si="3">D39/$C$4</f>
        <v>1</v>
      </c>
      <c r="E40" s="7">
        <f t="shared" si="3"/>
        <v>0</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ht="28"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COUNTIF('ALINDAO_Cleaned Data'!SO:SO,"1")</f>
        <v>0</v>
      </c>
      <c r="C44" s="38">
        <f>COUNTIF('ALINDAO_Cleaned Data'!SP:SP,"1")</f>
        <v>0</v>
      </c>
      <c r="D44" s="38">
        <f>COUNTIF('ALINDAO_Cleaned Data'!SQ:SQ,"1")</f>
        <v>0</v>
      </c>
      <c r="E44" s="38">
        <f>COUNTIF('ALINDAO_Cleaned Data'!SR:SR,"1")</f>
        <v>0</v>
      </c>
      <c r="F44" s="38">
        <f>COUNTIF('ALINDAO_Cleaned Data'!SS:SS,"1")</f>
        <v>0</v>
      </c>
      <c r="G44" s="38">
        <f>COUNTIF('ALINDAO_Cleaned Data'!ST:ST,"1")</f>
        <v>2</v>
      </c>
      <c r="H44" s="38">
        <f>COUNTIF('ALINDAO_Cleaned Data'!SZ:SZ,"1")</f>
        <v>0</v>
      </c>
      <c r="I44" s="38">
        <f>COUNTIF('ALINDAO_Cleaned Data'!SV:SV,"1")</f>
        <v>0</v>
      </c>
      <c r="J44" s="38">
        <f>COUNTIF('ALINDAO_Cleaned Data'!SW:SW,"1")</f>
        <v>1</v>
      </c>
    </row>
    <row r="45" spans="1:10" x14ac:dyDescent="0.3">
      <c r="A45" s="3" t="s">
        <v>1221</v>
      </c>
      <c r="B45" s="7">
        <f>B44/$B$9</f>
        <v>0</v>
      </c>
      <c r="C45" s="7">
        <f t="shared" ref="C45:J45" si="4">C44/$B$9</f>
        <v>0</v>
      </c>
      <c r="D45" s="7">
        <f t="shared" si="4"/>
        <v>0</v>
      </c>
      <c r="E45" s="7">
        <f t="shared" si="4"/>
        <v>0</v>
      </c>
      <c r="F45" s="7">
        <f t="shared" si="4"/>
        <v>0</v>
      </c>
      <c r="G45" s="7">
        <f t="shared" si="4"/>
        <v>1</v>
      </c>
      <c r="H45" s="7">
        <f t="shared" si="4"/>
        <v>0</v>
      </c>
      <c r="I45" s="7">
        <f t="shared" si="4"/>
        <v>0</v>
      </c>
      <c r="J45" s="7">
        <f t="shared" si="4"/>
        <v>0.5</v>
      </c>
    </row>
    <row r="46" spans="1:10" x14ac:dyDescent="0.3">
      <c r="A46" s="14"/>
      <c r="B46" s="15"/>
      <c r="C46" s="15"/>
      <c r="D46" s="15"/>
      <c r="J46" s="74" t="s">
        <v>3295</v>
      </c>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COUNTIF('ALINDAO_Cleaned Data'!PL:PL,"oui")</f>
        <v>2</v>
      </c>
      <c r="C49" s="3">
        <f>COUNTIF('ALINDAO_Cleaned Data'!PL:PL,"non_non_fonctionnelles")</f>
        <v>0</v>
      </c>
      <c r="D49" s="3">
        <f>COUNTIF('ALINDAO_Cleaned Data'!PL:PL,"non_aucun")</f>
        <v>0</v>
      </c>
      <c r="E49" s="111">
        <f>SUM(B49:D49)</f>
        <v>2</v>
      </c>
    </row>
    <row r="50" spans="1:6" s="36" customFormat="1" ht="37" x14ac:dyDescent="0.3">
      <c r="A50" s="54" t="s">
        <v>3290</v>
      </c>
      <c r="B50" s="94">
        <f>(B49/$E$9)</f>
        <v>1</v>
      </c>
      <c r="C50" s="94">
        <f t="shared" ref="C50:D50" si="5">(C49/$E$9)</f>
        <v>0</v>
      </c>
      <c r="D50" s="94">
        <f t="shared" si="5"/>
        <v>0</v>
      </c>
      <c r="E50" s="116">
        <f>SUM(B50:D50)</f>
        <v>1</v>
      </c>
    </row>
    <row r="52" spans="1:6" x14ac:dyDescent="0.3">
      <c r="B52" s="18" t="s">
        <v>1287</v>
      </c>
    </row>
    <row r="53" spans="1:6" x14ac:dyDescent="0.3">
      <c r="B53" s="21">
        <f>AVERAGE('ALINDAO_Cleaned Data'!PM:PM)</f>
        <v>4</v>
      </c>
    </row>
    <row r="54" spans="1:6" x14ac:dyDescent="0.3">
      <c r="B54" s="21"/>
    </row>
    <row r="55" spans="1:6" x14ac:dyDescent="0.3">
      <c r="B55" s="18" t="s">
        <v>1414</v>
      </c>
    </row>
    <row r="56" spans="1:6" x14ac:dyDescent="0.3">
      <c r="B56" s="3"/>
      <c r="C56" s="11" t="s">
        <v>1210</v>
      </c>
      <c r="D56" s="11" t="s">
        <v>1209</v>
      </c>
      <c r="E56" s="110" t="s">
        <v>1206</v>
      </c>
    </row>
    <row r="57" spans="1:6" x14ac:dyDescent="0.3">
      <c r="B57" s="3" t="s">
        <v>1207</v>
      </c>
      <c r="C57" s="3">
        <f>COUNTIF('ALINDAO_Cleaned Data'!PN:PN,"oui")</f>
        <v>2</v>
      </c>
      <c r="D57" s="3">
        <f>COUNTIF('ALINDAO_Cleaned Data'!PN:PN,"non")</f>
        <v>0</v>
      </c>
      <c r="E57" s="111">
        <f>SUM(C57:D57)</f>
        <v>2</v>
      </c>
    </row>
    <row r="58" spans="1:6" ht="37.5" x14ac:dyDescent="0.3">
      <c r="B58" s="53" t="s">
        <v>3296</v>
      </c>
      <c r="C58" s="7">
        <f>(C57/$B$49)</f>
        <v>1</v>
      </c>
      <c r="D58" s="7">
        <f>(D57/$B$49)</f>
        <v>0</v>
      </c>
      <c r="E58" s="116">
        <f>SUM(C58:D58)</f>
        <v>1</v>
      </c>
    </row>
    <row r="60" spans="1:6" x14ac:dyDescent="0.3">
      <c r="C60" s="18" t="s">
        <v>1416</v>
      </c>
      <c r="D60" s="18"/>
      <c r="E60" s="21">
        <f>AVERAGE('ALINDAO_Cleaned Data'!PO:PO)</f>
        <v>2</v>
      </c>
      <c r="F60" s="74"/>
    </row>
    <row r="61" spans="1:6" x14ac:dyDescent="0.3">
      <c r="C61" s="18"/>
      <c r="D61" s="18"/>
    </row>
    <row r="62" spans="1:6" x14ac:dyDescent="0.3">
      <c r="C62" s="18" t="s">
        <v>1415</v>
      </c>
      <c r="D62" s="18"/>
      <c r="E62" s="21">
        <f>AVERAGE('ALINDAO_Cleaned Data'!PP:PP)</f>
        <v>2</v>
      </c>
      <c r="F62" s="74"/>
    </row>
    <row r="64" spans="1:6" x14ac:dyDescent="0.3">
      <c r="B64" s="18" t="s">
        <v>1417</v>
      </c>
    </row>
    <row r="65" spans="1:8" x14ac:dyDescent="0.3">
      <c r="B65" s="3"/>
      <c r="C65" s="11" t="s">
        <v>1210</v>
      </c>
      <c r="D65" s="11" t="s">
        <v>1209</v>
      </c>
      <c r="E65" s="110" t="s">
        <v>1206</v>
      </c>
    </row>
    <row r="66" spans="1:8" x14ac:dyDescent="0.3">
      <c r="B66" s="3" t="s">
        <v>1207</v>
      </c>
      <c r="C66" s="3">
        <f>COUNTIF('ALINDAO_Cleaned Data'!PQ:PQ,"oui")</f>
        <v>2</v>
      </c>
      <c r="D66" s="3">
        <f>COUNTIF('ALINDAO_Cleaned Data'!PQ:PQ,"non")</f>
        <v>0</v>
      </c>
      <c r="E66" s="111">
        <f>SUM(C66:D66)</f>
        <v>2</v>
      </c>
    </row>
    <row r="67" spans="1:8" ht="37.5" x14ac:dyDescent="0.3">
      <c r="B67" s="53" t="s">
        <v>3296</v>
      </c>
      <c r="C67" s="7">
        <f>(C66/$B$49)</f>
        <v>1</v>
      </c>
      <c r="D67" s="7">
        <f>(D66/$B$49)</f>
        <v>0</v>
      </c>
      <c r="E67" s="116">
        <f>SUM(C67:D67)</f>
        <v>1</v>
      </c>
    </row>
    <row r="69" spans="1:8" ht="15.5" x14ac:dyDescent="0.35">
      <c r="A69" s="29" t="s">
        <v>1418</v>
      </c>
    </row>
    <row r="70" spans="1:8" x14ac:dyDescent="0.3">
      <c r="A70" s="3"/>
      <c r="B70" s="8" t="s">
        <v>1210</v>
      </c>
      <c r="C70" s="8" t="s">
        <v>1209</v>
      </c>
      <c r="D70" s="110" t="s">
        <v>1206</v>
      </c>
    </row>
    <row r="71" spans="1:8" x14ac:dyDescent="0.3">
      <c r="A71" s="3" t="s">
        <v>1207</v>
      </c>
      <c r="B71" s="3">
        <f>COUNTIF('ALINDAO_Cleaned Data'!PR:PR,"oui")</f>
        <v>2</v>
      </c>
      <c r="C71" s="3">
        <f>COUNTIF('ALINDAO_Cleaned Data'!PR:PR,"non")</f>
        <v>0</v>
      </c>
      <c r="D71" s="111">
        <f>SUM(B71:C71)</f>
        <v>2</v>
      </c>
    </row>
    <row r="72" spans="1:8" s="36" customFormat="1" ht="37" x14ac:dyDescent="0.3">
      <c r="A72" s="54" t="s">
        <v>3290</v>
      </c>
      <c r="B72" s="94">
        <f>(B71/$E$9)</f>
        <v>1</v>
      </c>
      <c r="C72" s="94">
        <f>(C71/$E$9)</f>
        <v>0</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COUNTIF('ALINDAO_Cleaned Data'!PS:PS,"acces_direct")</f>
        <v>0</v>
      </c>
      <c r="D76" s="3">
        <f>COUNTIF('ALINDAO_Cleaned Data'!PS:PS,"acces_communautaire")</f>
        <v>2</v>
      </c>
      <c r="E76" s="3">
        <f>COUNTIF('ALINDAO_Cleaned Data'!PS:PS,"camion")</f>
        <v>0</v>
      </c>
      <c r="F76" s="3">
        <f>COUNTIF('ALINDAO_Cleaned Data'!PS:PS,"nsp")</f>
        <v>0</v>
      </c>
      <c r="G76" s="3">
        <f>COUNTIF('ALINDAO_Cleaned Data'!PS:PS,"autre")</f>
        <v>0</v>
      </c>
      <c r="H76" s="111">
        <f>SUM(C76:G76)</f>
        <v>2</v>
      </c>
    </row>
    <row r="77" spans="1:8" ht="48.5" x14ac:dyDescent="0.3">
      <c r="B77" s="54" t="s">
        <v>3297</v>
      </c>
      <c r="C77" s="94">
        <f>C76/$B$71</f>
        <v>0</v>
      </c>
      <c r="D77" s="94">
        <f t="shared" ref="D77:G77" si="6">D76/$B$71</f>
        <v>1</v>
      </c>
      <c r="E77" s="94">
        <f t="shared" si="6"/>
        <v>0</v>
      </c>
      <c r="F77" s="94">
        <f t="shared" si="6"/>
        <v>0</v>
      </c>
      <c r="G77" s="94">
        <f t="shared" si="6"/>
        <v>0</v>
      </c>
      <c r="H77" s="116">
        <f>SUM(C77:G77)</f>
        <v>1</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COUNTIF('ALINDAO_Cleaned Data'!PU:PU,"oui")</f>
        <v>1</v>
      </c>
      <c r="C81" s="3">
        <f>COUNTIF('ALINDAO_Cleaned Data'!PU:PU,"non")</f>
        <v>1</v>
      </c>
      <c r="D81" s="111">
        <f>SUM(B81:C81)</f>
        <v>2</v>
      </c>
    </row>
    <row r="82" spans="1:14" s="36" customFormat="1" ht="37" x14ac:dyDescent="0.3">
      <c r="A82" s="54" t="s">
        <v>3290</v>
      </c>
      <c r="B82" s="94">
        <f>(B81/$E$9)</f>
        <v>0.5</v>
      </c>
      <c r="C82" s="94">
        <f>(C81/$E$9)</f>
        <v>0.5</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COUNTIF('ALINDAO_Cleaned Data'!PV:PV,"oui")</f>
        <v>1</v>
      </c>
      <c r="D86" s="3">
        <f>COUNTIF('ALINDAO_Cleaned Data'!PV:PV,"non_panne")</f>
        <v>0</v>
      </c>
      <c r="E86" s="3">
        <f>COUNTIF('ALINDAO_Cleaned Data'!PV:PV,"non_essence")</f>
        <v>0</v>
      </c>
      <c r="F86" s="3">
        <f>COUNTIF('ALINDAO_Cleaned Data'!PV:PV,"non_equipement")</f>
        <v>0</v>
      </c>
      <c r="G86" s="111">
        <f>SUM(C86:F86)</f>
        <v>1</v>
      </c>
    </row>
    <row r="87" spans="1:14" ht="37" x14ac:dyDescent="0.3">
      <c r="B87" s="54" t="s">
        <v>3298</v>
      </c>
      <c r="C87" s="94">
        <f>(C86/$B$81)</f>
        <v>1</v>
      </c>
      <c r="D87" s="94">
        <f t="shared" ref="D87:F87" si="7">(D86/$B$81)</f>
        <v>0</v>
      </c>
      <c r="E87" s="94">
        <f t="shared" si="7"/>
        <v>0</v>
      </c>
      <c r="F87" s="94">
        <f t="shared" si="7"/>
        <v>0</v>
      </c>
      <c r="G87" s="100">
        <f>SUM(C87:F87)</f>
        <v>1</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COUNTIF('ALINDAO_Cleaned Data'!QA:QA,"1")</f>
        <v>1</v>
      </c>
      <c r="C92" s="3">
        <f>COUNTIF('ALINDAO_Cleaned Data'!QN:QN,"1")</f>
        <v>1</v>
      </c>
      <c r="D92" s="3">
        <f>COUNTIF('ALINDAO_Cleaned Data'!QB:QB,"1")</f>
        <v>1</v>
      </c>
      <c r="E92" s="3">
        <f>COUNTIF('ALINDAO_Cleaned Data'!QC:QC,"1")</f>
        <v>0</v>
      </c>
      <c r="F92" s="3">
        <f>COUNTIF('ALINDAO_Cleaned Data'!QD:QD,"1")</f>
        <v>1</v>
      </c>
      <c r="G92" s="3">
        <f>COUNTIF('ALINDAO_Cleaned Data'!QE:QE,"1")</f>
        <v>1</v>
      </c>
      <c r="H92" s="3">
        <f>COUNTIF('ALINDAO_Cleaned Data'!QF:QF,"1")</f>
        <v>1</v>
      </c>
      <c r="I92" s="3">
        <f>COUNTIF('ALINDAO_Cleaned Data'!QG:QG,"1")</f>
        <v>0</v>
      </c>
      <c r="J92" s="3">
        <f>COUNTIF('ALINDAO_Cleaned Data'!QH:QH,"1")</f>
        <v>0</v>
      </c>
      <c r="K92" s="3">
        <f>COUNTIF('ALINDAO_Cleaned Data'!QJ:QJ,"1")</f>
        <v>1</v>
      </c>
      <c r="L92" s="3">
        <f>COUNTIF('ALINDAO_Cleaned Data'!QK:QK,"1")</f>
        <v>2</v>
      </c>
      <c r="M92" s="3">
        <f>COUNTIF('ALINDAO_Cleaned Data'!QL:QL,"1")</f>
        <v>0</v>
      </c>
      <c r="N92" s="3">
        <f>COUNTIF('ALINDAO_Cleaned Data'!QM:QM,"1")</f>
        <v>0</v>
      </c>
    </row>
    <row r="93" spans="1:14" s="36" customFormat="1" ht="37" x14ac:dyDescent="0.35">
      <c r="A93" s="54" t="s">
        <v>3301</v>
      </c>
      <c r="B93" s="55">
        <f t="shared" ref="B93:N93" si="8">(B92/$E$9)</f>
        <v>0.5</v>
      </c>
      <c r="C93" s="55">
        <f t="shared" si="8"/>
        <v>0.5</v>
      </c>
      <c r="D93" s="55">
        <f t="shared" si="8"/>
        <v>0.5</v>
      </c>
      <c r="E93" s="55">
        <f t="shared" si="8"/>
        <v>0</v>
      </c>
      <c r="F93" s="55">
        <f t="shared" si="8"/>
        <v>0.5</v>
      </c>
      <c r="G93" s="55">
        <f t="shared" si="8"/>
        <v>0.5</v>
      </c>
      <c r="H93" s="55">
        <f t="shared" si="8"/>
        <v>0.5</v>
      </c>
      <c r="I93" s="55">
        <f t="shared" si="8"/>
        <v>0</v>
      </c>
      <c r="J93" s="55">
        <f t="shared" si="8"/>
        <v>0</v>
      </c>
      <c r="K93" s="55">
        <f t="shared" si="8"/>
        <v>0.5</v>
      </c>
      <c r="L93" s="55">
        <f t="shared" si="8"/>
        <v>1</v>
      </c>
      <c r="M93" s="55">
        <f t="shared" si="8"/>
        <v>0</v>
      </c>
      <c r="N93" s="55">
        <f t="shared" si="8"/>
        <v>0</v>
      </c>
    </row>
    <row r="94" spans="1:14" x14ac:dyDescent="0.3">
      <c r="A94" s="14"/>
      <c r="B94" s="14"/>
      <c r="C94" s="14"/>
      <c r="D94" s="14"/>
      <c r="E94" s="14"/>
      <c r="F94" s="14"/>
      <c r="G94" s="14"/>
      <c r="H94" s="14"/>
      <c r="I94" s="14"/>
      <c r="J94" s="14"/>
      <c r="K94" s="14"/>
      <c r="L94" s="14"/>
      <c r="M94" s="14"/>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COUNTIF('ALINDAO_Cleaned Data'!TB:TB,"oui")</f>
        <v>0</v>
      </c>
      <c r="C97" s="3">
        <f>COUNTIF('ALINDAO_Cleaned Data'!TB:TB,"oui_exception")</f>
        <v>0</v>
      </c>
      <c r="D97" s="3">
        <f>COUNTIF('ALINDAO_Cleaned Data'!TB:TB,"non")</f>
        <v>2</v>
      </c>
      <c r="E97" s="111">
        <f>SUM(B97:D97)</f>
        <v>2</v>
      </c>
      <c r="F97" s="14"/>
      <c r="G97" s="14"/>
      <c r="H97" s="14"/>
      <c r="I97" s="14"/>
      <c r="J97" s="14"/>
      <c r="K97" s="14"/>
      <c r="L97" s="14"/>
      <c r="M97" s="14"/>
    </row>
    <row r="98" spans="1:13" s="36" customFormat="1" ht="37" x14ac:dyDescent="0.3">
      <c r="A98" s="54" t="s">
        <v>3301</v>
      </c>
      <c r="B98" s="120">
        <f>(B97/$E$9)</f>
        <v>0</v>
      </c>
      <c r="C98" s="120">
        <f t="shared" ref="C98:D98" si="9">(C97/$E$9)</f>
        <v>0</v>
      </c>
      <c r="D98" s="120">
        <f t="shared" si="9"/>
        <v>1</v>
      </c>
      <c r="E98" s="100">
        <f>SUM(B98:D98)</f>
        <v>1</v>
      </c>
      <c r="F98" s="47"/>
      <c r="G98" s="47"/>
      <c r="H98" s="47"/>
      <c r="I98" s="47"/>
      <c r="J98" s="47"/>
      <c r="K98" s="47"/>
      <c r="L98" s="47"/>
      <c r="M98" s="47"/>
    </row>
    <row r="99" spans="1:13" x14ac:dyDescent="0.3">
      <c r="A99" s="14"/>
      <c r="B99" s="15"/>
      <c r="C99" s="87"/>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COUNTIF('ALINDAO_Cleaned Data'!TJ:TJ,"oui")</f>
        <v>0</v>
      </c>
      <c r="D103" s="3">
        <f>COUNTIF('ALINDAO_Cleaned Data'!TJ:TJ,"non")</f>
        <v>2</v>
      </c>
      <c r="E103" s="111">
        <f>SUM(C103:D103)</f>
        <v>2</v>
      </c>
      <c r="F103" s="76" t="s">
        <v>3300</v>
      </c>
      <c r="G103" s="14"/>
      <c r="H103" s="14"/>
      <c r="I103" s="14"/>
      <c r="J103" s="14"/>
      <c r="K103" s="14"/>
      <c r="L103" s="14"/>
      <c r="M103" s="14"/>
    </row>
    <row r="104" spans="1:13" ht="40.5" customHeight="1" x14ac:dyDescent="0.3">
      <c r="A104" s="14"/>
      <c r="B104" s="121" t="s">
        <v>3302</v>
      </c>
      <c r="C104" s="39" t="e">
        <f>(C103/($B$97+$C$97))</f>
        <v>#DIV/0!</v>
      </c>
      <c r="D104" s="39" t="e">
        <f>(D103/($B$97+$C$97))</f>
        <v>#DIV/0!</v>
      </c>
      <c r="E104" s="100" t="e">
        <f>SUM(C104:D104)</f>
        <v>#DIV/0!</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8">
        <f>COUNTIF('ALINDAO_Cleaned Data'!TK:TK,"bcp_diminue")</f>
        <v>0</v>
      </c>
      <c r="E108" s="38">
        <f>COUNTIF('ALINDAO_Cleaned Data'!TK:TK,"peu_diminue")</f>
        <v>0</v>
      </c>
      <c r="F108" s="38">
        <f>COUNTIF('ALINDAO_Cleaned Data'!TK:TK,"bcp_augmente")</f>
        <v>0</v>
      </c>
      <c r="G108" s="38">
        <f>COUNTIF('ALINDAO_Cleaned Data'!TK:TK,"peu_augmente")</f>
        <v>0</v>
      </c>
      <c r="J108" s="14"/>
      <c r="K108" s="76"/>
      <c r="L108" s="14"/>
      <c r="M108" s="14"/>
    </row>
    <row r="109" spans="1:13" ht="60.5" x14ac:dyDescent="0.3">
      <c r="A109" s="14"/>
      <c r="B109" s="15"/>
      <c r="C109" s="121" t="s">
        <v>3302</v>
      </c>
      <c r="D109" s="39" t="e">
        <f>(D108/$C$103)</f>
        <v>#DIV/0!</v>
      </c>
      <c r="E109" s="39" t="e">
        <f>(E108/$C$103)</f>
        <v>#DIV/0!</v>
      </c>
      <c r="F109" s="39" t="e">
        <f>(F108/$C$103)</f>
        <v>#DIV/0!</v>
      </c>
      <c r="G109" s="39" t="e">
        <f>(G108/$C$103)</f>
        <v>#DIV/0!</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COUNTIF('ALINDAO_Cleaned Data'!TW:TW,"1")</f>
        <v>0</v>
      </c>
      <c r="E113" s="24">
        <f>COUNTIF('ALINDAO_Cleaned Data'!TX:TX,"1")</f>
        <v>0</v>
      </c>
      <c r="F113" s="24">
        <f>COUNTIF('ALINDAO_Cleaned Data'!TY:TY,"1")</f>
        <v>0</v>
      </c>
      <c r="G113" s="24">
        <f>COUNTIF('ALINDAO_Cleaned Data'!TZ:TZ,"1")</f>
        <v>0</v>
      </c>
      <c r="H113" s="24">
        <f>COUNTIF('ALINDAO_Cleaned Data'!UA:UA,"1")</f>
        <v>0</v>
      </c>
      <c r="I113" s="24">
        <f>COUNTIF('ALINDAO_Cleaned Data'!UB:UB,"1")</f>
        <v>0</v>
      </c>
      <c r="J113" s="24">
        <f>COUNTIF('ALINDAO_Cleaned Data'!UC:UC,"1")</f>
        <v>0</v>
      </c>
      <c r="K113" s="24">
        <f>COUNTIF('ALINDAO_Cleaned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COUNTIF('ALINDAO_Cleaned Data'!TM:TM,"1")</f>
        <v>0</v>
      </c>
      <c r="E118" s="24">
        <f>COUNTIF('ALINDAO_Cleaned Data'!TN:TN,"1")</f>
        <v>0</v>
      </c>
      <c r="F118" s="24">
        <f>COUNTIF('ALINDAO_Cleaned Data'!TO:TO,"1")</f>
        <v>0</v>
      </c>
      <c r="G118" s="24">
        <f>COUNTIF('ALINDAO_Cleaned Data'!TP:TP,"1")</f>
        <v>0</v>
      </c>
      <c r="H118" s="24">
        <f>COUNTIF('ALINDAO_Cleaned Data'!TQ:TQ,"1")</f>
        <v>0</v>
      </c>
      <c r="I118" s="24">
        <f>COUNTIF('ALINDAO_Cleaned Data'!TR:TR,"1")</f>
        <v>0</v>
      </c>
      <c r="J118" s="24">
        <f>COUNTIF('ALINDAO_Cleaned Data'!TS:TS,"1")</f>
        <v>0</v>
      </c>
      <c r="K118" s="24">
        <f>COUNTIF('ALINDAO_Cleaned Data'!TT:TT,"1")</f>
        <v>0</v>
      </c>
      <c r="L118" s="14"/>
      <c r="M118" s="14"/>
    </row>
    <row r="119" spans="1:13" ht="60.5" x14ac:dyDescent="0.3">
      <c r="A119" s="14"/>
      <c r="B119" s="15"/>
      <c r="C119" s="121" t="s">
        <v>3304</v>
      </c>
      <c r="D119" s="39" t="e">
        <f>D118/(F108+G108)</f>
        <v>#DIV/0!</v>
      </c>
      <c r="E119" s="39" t="e">
        <f>E118/(F108+G108)</f>
        <v>#DIV/0!</v>
      </c>
      <c r="F119" s="39" t="e">
        <f>F118/(F108+G108)</f>
        <v>#DIV/0!</v>
      </c>
      <c r="G119" s="39" t="e">
        <f>G118/(F108+G108)</f>
        <v>#DIV/0!</v>
      </c>
      <c r="H119" s="39" t="e">
        <f>H118/(F108+G108)</f>
        <v>#DIV/0!</v>
      </c>
      <c r="I119" s="39" t="e">
        <f>I118/(F108+G108)</f>
        <v>#DIV/0!</v>
      </c>
      <c r="J119" s="39" t="e">
        <f>J118/(F108+G108)</f>
        <v>#DIV/0!</v>
      </c>
      <c r="K119" s="39" t="e">
        <f>K118/(F108+G108)</f>
        <v>#DIV/0!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COUNTIF('ALINDAO_Cleaned Data'!QR:QR,"1")</f>
        <v>2</v>
      </c>
      <c r="C123" s="3">
        <f>COUNTIF('ALINDAO_Cleaned Data'!QS:QS,"1")</f>
        <v>2</v>
      </c>
      <c r="D123" s="3">
        <f>COUNTIF('ALINDAO_Cleaned Data'!QV:QV,"1")</f>
        <v>1</v>
      </c>
      <c r="E123" s="3">
        <f>COUNTIF('ALINDAO_Cleaned Data'!QW:QW,"1")</f>
        <v>1</v>
      </c>
      <c r="F123" s="3">
        <f>COUNTIF('ALINDAO_Cleaned Data'!QT:QT,"1")</f>
        <v>0</v>
      </c>
      <c r="G123" s="3">
        <f>COUNTIF('ALINDAO_Cleaned Data'!QU:QU,"1")</f>
        <v>1</v>
      </c>
    </row>
    <row r="124" spans="1:13" s="36" customFormat="1" ht="37" x14ac:dyDescent="0.3">
      <c r="A124" s="54" t="s">
        <v>3301</v>
      </c>
      <c r="B124" s="94">
        <f>B123/$E$9</f>
        <v>1</v>
      </c>
      <c r="C124" s="94">
        <f t="shared" ref="C124:G124" si="10">C123/$E$9</f>
        <v>1</v>
      </c>
      <c r="D124" s="94">
        <f t="shared" si="10"/>
        <v>0.5</v>
      </c>
      <c r="E124" s="94">
        <f t="shared" si="10"/>
        <v>0.5</v>
      </c>
      <c r="F124" s="94">
        <f t="shared" si="10"/>
        <v>0</v>
      </c>
      <c r="G124" s="94">
        <f t="shared" si="10"/>
        <v>0.5</v>
      </c>
    </row>
    <row r="125" spans="1:13" x14ac:dyDescent="0.3">
      <c r="G125" s="122" t="s">
        <v>3305</v>
      </c>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COUNTIF('ALINDAO_Cleaned Data'!QY:QY,"oui")</f>
        <v>0</v>
      </c>
      <c r="C129" s="3">
        <f>COUNTIF('ALINDAO_Cleaned Data'!QY:QY,"non")</f>
        <v>2</v>
      </c>
      <c r="D129" s="111">
        <f>SUM(B129:C129)</f>
        <v>2</v>
      </c>
    </row>
    <row r="130" spans="1:6" s="36" customFormat="1" ht="37" x14ac:dyDescent="0.3">
      <c r="A130" s="54" t="s">
        <v>3301</v>
      </c>
      <c r="B130" s="94">
        <f>(B129/$E$9)</f>
        <v>0</v>
      </c>
      <c r="C130" s="94">
        <f>(C129/$E$9)</f>
        <v>1</v>
      </c>
      <c r="D130" s="100">
        <f>SUM(B130:C130)</f>
        <v>1</v>
      </c>
    </row>
    <row r="132" spans="1:6" x14ac:dyDescent="0.3">
      <c r="B132" s="18" t="s">
        <v>1435</v>
      </c>
      <c r="D132" s="103" t="s">
        <v>3245</v>
      </c>
      <c r="E132" s="21"/>
    </row>
    <row r="133" spans="1:6" ht="28" x14ac:dyDescent="0.3">
      <c r="B133" s="6" t="s">
        <v>1436</v>
      </c>
      <c r="C133" s="6" t="s">
        <v>1437</v>
      </c>
      <c r="D133" s="6" t="s">
        <v>1438</v>
      </c>
      <c r="E133" s="6" t="s">
        <v>1905</v>
      </c>
      <c r="F133" s="6" t="s">
        <v>1205</v>
      </c>
    </row>
    <row r="134" spans="1:6" x14ac:dyDescent="0.3">
      <c r="B134" s="3">
        <f>COUNTIF('ALINDAO_Cleaned Data'!RA:RA,"1")</f>
        <v>0</v>
      </c>
      <c r="C134" s="3">
        <f>COUNTIF('ALINDAO_Cleaned Data'!RB:RB,"1")</f>
        <v>0</v>
      </c>
      <c r="D134" s="3">
        <f>COUNTIF('ALINDAO_Cleaned Data'!RC:RC,"1")</f>
        <v>0</v>
      </c>
      <c r="E134" s="3">
        <f>COUNTIF('ALINDAO_Cleaned Data'!RD:RD,"1")</f>
        <v>0</v>
      </c>
      <c r="F134" s="3">
        <f>COUNTIF('ALINDAO_Cleaned Data'!RE:RE,"1")</f>
        <v>0</v>
      </c>
    </row>
    <row r="137" spans="1:6" x14ac:dyDescent="0.3">
      <c r="A137" s="21" t="s">
        <v>1302</v>
      </c>
    </row>
    <row r="138" spans="1:6" ht="33.5" customHeight="1" x14ac:dyDescent="0.3">
      <c r="A138" s="154" t="s">
        <v>1439</v>
      </c>
      <c r="B138" s="154"/>
      <c r="C138" s="154"/>
      <c r="D138" s="154"/>
      <c r="E138" s="44">
        <f>AVERAGE('ALINDAO_Cleaned Data'!RG:RG)</f>
        <v>35</v>
      </c>
    </row>
    <row r="140" spans="1:6" ht="15.5" x14ac:dyDescent="0.35">
      <c r="A140" s="29" t="s">
        <v>1440</v>
      </c>
    </row>
    <row r="141" spans="1:6" x14ac:dyDescent="0.3">
      <c r="A141" s="3"/>
      <c r="B141" s="8" t="s">
        <v>1210</v>
      </c>
      <c r="C141" s="8" t="s">
        <v>1209</v>
      </c>
      <c r="D141" s="110" t="s">
        <v>1206</v>
      </c>
    </row>
    <row r="142" spans="1:6" x14ac:dyDescent="0.3">
      <c r="A142" s="3" t="s">
        <v>1207</v>
      </c>
      <c r="B142" s="3">
        <f>COUNTIF('ALINDAO_Cleaned Data'!RH:RH,"oui")</f>
        <v>2</v>
      </c>
      <c r="C142" s="3">
        <f>COUNTIF('ALINDAO_Cleaned Data'!RH:RH,"non")</f>
        <v>0</v>
      </c>
      <c r="D142" s="111">
        <f>SUM(B142:C142)</f>
        <v>2</v>
      </c>
    </row>
    <row r="143" spans="1:6" s="36" customFormat="1" ht="37" x14ac:dyDescent="0.3">
      <c r="A143" s="54" t="s">
        <v>3301</v>
      </c>
      <c r="B143" s="94">
        <f>(B142/$E$9)</f>
        <v>1</v>
      </c>
      <c r="C143" s="94">
        <f>(C142/$E$9)</f>
        <v>0</v>
      </c>
      <c r="D143" s="100">
        <f>SUM(B143:C143)</f>
        <v>1</v>
      </c>
    </row>
    <row r="145" spans="1:13" x14ac:dyDescent="0.3">
      <c r="B145" s="18" t="s">
        <v>1441</v>
      </c>
    </row>
    <row r="146" spans="1:13" ht="28" x14ac:dyDescent="0.3">
      <c r="B146" s="3"/>
      <c r="C146" s="12" t="s">
        <v>1226</v>
      </c>
      <c r="D146" s="12" t="s">
        <v>1405</v>
      </c>
      <c r="E146" s="12" t="s">
        <v>1225</v>
      </c>
      <c r="F146" s="12" t="s">
        <v>1404</v>
      </c>
      <c r="G146" s="110" t="s">
        <v>1206</v>
      </c>
    </row>
    <row r="147" spans="1:13" x14ac:dyDescent="0.3">
      <c r="B147" s="3" t="s">
        <v>1207</v>
      </c>
      <c r="C147" s="3">
        <f>COUNTIF('ALINDAO_Cleaned Data'!RI:RI,"bcp_diminue")</f>
        <v>0</v>
      </c>
      <c r="D147" s="3">
        <f>COUNTIF('ALINDAO_Cleaned Data'!RI:RI,"peu_diminue")</f>
        <v>0</v>
      </c>
      <c r="E147" s="3">
        <f>COUNTIF('ALINDAO_Cleaned Data'!RI:RI,"bcp_augmente")</f>
        <v>2</v>
      </c>
      <c r="F147" s="3">
        <f>COUNTIF('ALINDAO_Cleaned Data'!RI:RI,"peu_augmente")</f>
        <v>0</v>
      </c>
      <c r="G147" s="111">
        <f>SUM(C147:F147)</f>
        <v>2</v>
      </c>
    </row>
    <row r="148" spans="1:13" ht="49" x14ac:dyDescent="0.3">
      <c r="B148" s="53" t="s">
        <v>3306</v>
      </c>
      <c r="C148" s="7">
        <f>(C147/$B$142)</f>
        <v>0</v>
      </c>
      <c r="D148" s="7">
        <f>(D147/$B$142)</f>
        <v>0</v>
      </c>
      <c r="E148" s="7">
        <f>(E147/$B$142)</f>
        <v>1</v>
      </c>
      <c r="F148" s="7">
        <f>(F147/$B$142)</f>
        <v>0</v>
      </c>
      <c r="G148" s="100">
        <f>SUM(C148:F148)</f>
        <v>1</v>
      </c>
    </row>
    <row r="150" spans="1:13" x14ac:dyDescent="0.3">
      <c r="C150" s="18" t="s">
        <v>1310</v>
      </c>
      <c r="E150" s="103" t="s">
        <v>3245</v>
      </c>
    </row>
    <row r="151" spans="1:13"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3" x14ac:dyDescent="0.3">
      <c r="C152" s="3" t="s">
        <v>1207</v>
      </c>
      <c r="D152" s="3">
        <f>COUNTIF('ALINDAO_Cleaned Data'!RW:RW,"1")</f>
        <v>0</v>
      </c>
      <c r="E152" s="3">
        <f>COUNTIF('ALINDAO_Cleaned Data'!RX:RX,"1")</f>
        <v>0</v>
      </c>
      <c r="F152" s="3">
        <f>COUNTIF('ALINDAO_Cleaned Data'!RY:RY,"1")</f>
        <v>0</v>
      </c>
      <c r="G152" s="3">
        <f>COUNTIF('ALINDAO_Cleaned Data'!RZ:RZ,"1")</f>
        <v>0</v>
      </c>
      <c r="H152" s="3">
        <f>COUNTIF('ALINDAO_Cleaned Data'!SA:SA,"1")</f>
        <v>0</v>
      </c>
      <c r="I152" s="3">
        <f>COUNTIF('ALINDAO_Cleaned Data'!SB:SB,"1")</f>
        <v>0</v>
      </c>
      <c r="J152" s="3">
        <f>COUNTIF('ALINDAO_Cleaned Data'!SC:SC,"1")</f>
        <v>0</v>
      </c>
    </row>
    <row r="153" spans="1:13" ht="49" x14ac:dyDescent="0.3">
      <c r="C153" s="53" t="s">
        <v>3307</v>
      </c>
      <c r="D153" s="78" t="e">
        <f>D152/(C147+D147)</f>
        <v>#DIV/0!</v>
      </c>
      <c r="E153" s="78" t="e">
        <f>E152/(C147+D147)</f>
        <v>#DIV/0!</v>
      </c>
      <c r="F153" s="78" t="e">
        <f>F152/(C147+D147)</f>
        <v>#DIV/0!</v>
      </c>
      <c r="G153" s="78" t="e">
        <f>G152/(C147+D147)</f>
        <v>#DIV/0!</v>
      </c>
      <c r="H153" s="78" t="e">
        <f>H152/(C147+D147)</f>
        <v>#DIV/0!</v>
      </c>
      <c r="I153" s="78" t="e">
        <f>I152/(C147+D147)</f>
        <v>#DIV/0!</v>
      </c>
      <c r="J153" s="78" t="e">
        <f>J152/(C147+D147)</f>
        <v>#DIV/0!</v>
      </c>
    </row>
    <row r="154" spans="1:13" x14ac:dyDescent="0.3">
      <c r="C154" s="14"/>
      <c r="D154" s="14"/>
      <c r="E154" s="14"/>
      <c r="F154" s="14"/>
      <c r="G154" s="14"/>
      <c r="H154" s="14"/>
      <c r="I154" s="14"/>
      <c r="J154" s="14"/>
    </row>
    <row r="155" spans="1:13" x14ac:dyDescent="0.3">
      <c r="C155" s="18" t="s">
        <v>1227</v>
      </c>
      <c r="E155" s="103" t="s">
        <v>3245</v>
      </c>
    </row>
    <row r="156" spans="1:13" s="36" customFormat="1" ht="73.5" customHeight="1" x14ac:dyDescent="0.3">
      <c r="C156" s="3"/>
      <c r="D156" s="11" t="s">
        <v>1228</v>
      </c>
      <c r="E156" s="11" t="s">
        <v>2340</v>
      </c>
      <c r="F156" s="11" t="s">
        <v>1442</v>
      </c>
      <c r="G156" s="11" t="s">
        <v>1443</v>
      </c>
      <c r="H156" s="11" t="s">
        <v>1444</v>
      </c>
      <c r="I156" s="11" t="s">
        <v>1445</v>
      </c>
      <c r="J156" s="11" t="s">
        <v>1446</v>
      </c>
      <c r="K156" s="11" t="s">
        <v>1447</v>
      </c>
      <c r="L156" s="11" t="s">
        <v>3259</v>
      </c>
      <c r="M156" s="11" t="s">
        <v>1220</v>
      </c>
    </row>
    <row r="157" spans="1:13" x14ac:dyDescent="0.3">
      <c r="C157" s="3" t="s">
        <v>1207</v>
      </c>
      <c r="D157" s="3">
        <f>COUNTIF('ALINDAO_Cleaned Data'!RK:RK,"1")</f>
        <v>1</v>
      </c>
      <c r="E157" s="3">
        <f>COUNTIF('ALINDAO_Cleaned Data'!RL:RL,"1")</f>
        <v>1</v>
      </c>
      <c r="F157" s="3">
        <f>COUNTIF('ALINDAO_Cleaned Data'!RM:RM,"1")</f>
        <v>1</v>
      </c>
      <c r="G157" s="3">
        <f>COUNTIF('ALINDAO_Cleaned Data'!RN:RN,"1")</f>
        <v>0</v>
      </c>
      <c r="H157" s="3">
        <f>COUNTIF('ALINDAO_Cleaned Data'!RO:RO,"1")</f>
        <v>0</v>
      </c>
      <c r="I157" s="3">
        <f>COUNTIF('ALINDAO_Cleaned Data'!RP:RP,"1")</f>
        <v>0</v>
      </c>
      <c r="J157" s="3">
        <f>COUNTIF('ALINDAO_Cleaned Data'!RQ:RQ,"1")</f>
        <v>1</v>
      </c>
      <c r="K157" s="3">
        <f>COUNTIF('ALINDAO_Cleaned Data'!RR:RR,"1")</f>
        <v>1</v>
      </c>
      <c r="L157" s="3">
        <f>COUNTIF('ALINDAO_Cleaned Data'!RS:RS,"1")</f>
        <v>0</v>
      </c>
      <c r="M157" s="3">
        <f>COUNTIF('ALINDAO_Cleaned Data'!RT:RT,"1")</f>
        <v>1</v>
      </c>
    </row>
    <row r="158" spans="1:13" ht="49" x14ac:dyDescent="0.3">
      <c r="C158" s="53" t="s">
        <v>3308</v>
      </c>
      <c r="D158" s="7">
        <f>D157/(E147+F147)</f>
        <v>0.5</v>
      </c>
      <c r="E158" s="7">
        <f>E157/(E147+F147)</f>
        <v>0.5</v>
      </c>
      <c r="F158" s="7">
        <f>F157/(E147+F147)</f>
        <v>0.5</v>
      </c>
      <c r="G158" s="7">
        <f>G157/(E147+F147)</f>
        <v>0</v>
      </c>
      <c r="H158" s="7">
        <f>H157/(E147+F147)</f>
        <v>0</v>
      </c>
      <c r="I158" s="7">
        <f>I157/(E147+F147)</f>
        <v>0</v>
      </c>
      <c r="J158" s="7">
        <f>J157/(E147+F147)</f>
        <v>0.5</v>
      </c>
      <c r="K158" s="7">
        <f>K157/(E147+F147)</f>
        <v>0.5</v>
      </c>
      <c r="L158" s="7">
        <f>L157/(E147+F147)</f>
        <v>0</v>
      </c>
      <c r="M158" s="7">
        <f>M157/(E147+F147)</f>
        <v>0.5</v>
      </c>
    </row>
    <row r="159" spans="1:13" x14ac:dyDescent="0.3">
      <c r="C159" s="50"/>
      <c r="M159" s="148" t="s">
        <v>3391</v>
      </c>
    </row>
    <row r="160" spans="1:13"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COUNTIF('ALINDAO_Cleaned Data'!SE:SE,"fortement_sur:utilise")</f>
        <v>2</v>
      </c>
      <c r="C162" s="3">
        <f>COUNTIF('ALINDAO_Cleaned Data'!SE:SE,"sur_utilise")</f>
        <v>0</v>
      </c>
      <c r="D162" s="3">
        <f>COUNTIF('ALINDAO_Cleaned Data'!SE:SE,"ok")</f>
        <v>0</v>
      </c>
      <c r="E162" s="3">
        <f>COUNTIF('ALINDAO_Cleaned Data'!SE:SE,"sous_utilise")</f>
        <v>0</v>
      </c>
      <c r="F162" s="3">
        <f>COUNTIF('ALINDAO_Cleaned Data'!SE:SE,"fortement_sous_utilise")</f>
        <v>0</v>
      </c>
      <c r="G162" s="3">
        <f>COUNTIF('ALINDAO_Cleaned Data'!SE:SE,"nsp")</f>
        <v>0</v>
      </c>
      <c r="H162" s="111">
        <f>SUM(B162:G162)</f>
        <v>2</v>
      </c>
    </row>
    <row r="163" spans="1:8" s="36" customFormat="1" ht="37" x14ac:dyDescent="0.3">
      <c r="A163" s="54" t="s">
        <v>3301</v>
      </c>
      <c r="B163" s="94">
        <f>B162/$E$9</f>
        <v>1</v>
      </c>
      <c r="C163" s="94">
        <f t="shared" ref="C163:G163" si="11">C162/$E$9</f>
        <v>0</v>
      </c>
      <c r="D163" s="94">
        <f t="shared" si="11"/>
        <v>0</v>
      </c>
      <c r="E163" s="94">
        <f t="shared" si="11"/>
        <v>0</v>
      </c>
      <c r="F163" s="94">
        <f t="shared" si="11"/>
        <v>0</v>
      </c>
      <c r="G163" s="94">
        <f t="shared" si="11"/>
        <v>0</v>
      </c>
      <c r="H163" s="100">
        <f>SUM(B163:G163)</f>
        <v>1</v>
      </c>
    </row>
    <row r="166" spans="1:8" ht="15.5" x14ac:dyDescent="0.3">
      <c r="A166" s="80" t="s">
        <v>1454</v>
      </c>
      <c r="E166" s="132">
        <f>AVERAGE('ALINDAO_Cleaned Data'!SF:SF)</f>
        <v>17.5</v>
      </c>
    </row>
    <row r="167" spans="1:8" ht="15.5" x14ac:dyDescent="0.35">
      <c r="A167" s="79" t="s">
        <v>1455</v>
      </c>
      <c r="E167" s="21">
        <f>AVERAGE('ALINDAO_Cleaned Data'!SG:SG)</f>
        <v>0</v>
      </c>
    </row>
    <row r="168" spans="1:8" ht="15.5" x14ac:dyDescent="0.35">
      <c r="A168" s="29" t="s">
        <v>1456</v>
      </c>
      <c r="E168" s="10">
        <f>AVERAGE('ALINDAO_Cleaned Data'!SH:SH)</f>
        <v>1.5</v>
      </c>
    </row>
    <row r="169" spans="1:8" ht="15.5" x14ac:dyDescent="0.35">
      <c r="A169" s="29" t="s">
        <v>1457</v>
      </c>
      <c r="E169" s="10">
        <f>AVERAGE('ALINDAO_Cleaned Data'!SI:SI)</f>
        <v>6</v>
      </c>
    </row>
    <row r="170" spans="1:8" ht="15.5" x14ac:dyDescent="0.35">
      <c r="A170" s="29" t="s">
        <v>1458</v>
      </c>
      <c r="E170" s="10">
        <f>AVERAGE('ALINDAO_Cleaned Data'!SJ:SJ)</f>
        <v>0.5</v>
      </c>
    </row>
    <row r="171" spans="1:8" ht="15.5" x14ac:dyDescent="0.35">
      <c r="A171" s="29" t="s">
        <v>1459</v>
      </c>
      <c r="E171" s="10">
        <f>AVERAGE('ALINDAO_Cleaned Data'!SK:SK)</f>
        <v>1</v>
      </c>
    </row>
    <row r="172" spans="1:8" ht="15.5" x14ac:dyDescent="0.35">
      <c r="A172" s="79" t="s">
        <v>1460</v>
      </c>
      <c r="B172" s="21"/>
      <c r="C172" s="21"/>
      <c r="D172" s="21"/>
      <c r="E172" s="21">
        <f>AVERAGE('ALINDAO_Cleaned Data'!SL:SL)</f>
        <v>5</v>
      </c>
    </row>
    <row r="173" spans="1:8" ht="15.5" x14ac:dyDescent="0.35">
      <c r="A173" s="29" t="s">
        <v>1461</v>
      </c>
      <c r="E173" s="10">
        <f>AVERAGE('ALINDAO_Cleaned Data'!SM:SM)</f>
        <v>2.5</v>
      </c>
    </row>
    <row r="174" spans="1:8" x14ac:dyDescent="0.3">
      <c r="A174" s="147" t="s">
        <v>3389</v>
      </c>
    </row>
    <row r="175" spans="1:8" x14ac:dyDescent="0.3">
      <c r="A175" s="147"/>
    </row>
    <row r="176" spans="1:8" ht="15.5" x14ac:dyDescent="0.35">
      <c r="A176" s="9" t="s">
        <v>1296</v>
      </c>
    </row>
    <row r="177" spans="1:8" ht="15.5" x14ac:dyDescent="0.35">
      <c r="A177" s="29" t="s">
        <v>1469</v>
      </c>
    </row>
    <row r="178" spans="1:8" x14ac:dyDescent="0.3">
      <c r="A178" s="3"/>
      <c r="B178" s="8" t="s">
        <v>1471</v>
      </c>
      <c r="C178" s="8" t="s">
        <v>1472</v>
      </c>
      <c r="D178" s="8" t="s">
        <v>1473</v>
      </c>
      <c r="E178" s="8" t="s">
        <v>1470</v>
      </c>
      <c r="F178" s="8" t="s">
        <v>1905</v>
      </c>
      <c r="G178" s="8" t="s">
        <v>1220</v>
      </c>
      <c r="H178" s="110" t="s">
        <v>1206</v>
      </c>
    </row>
    <row r="179" spans="1:8" x14ac:dyDescent="0.3">
      <c r="A179" s="3" t="s">
        <v>1207</v>
      </c>
      <c r="B179" s="3">
        <f>COUNTIF('ALINDAO_Cleaned Data'!UM:UM,"public")</f>
        <v>0</v>
      </c>
      <c r="C179" s="3">
        <f>COUNTIF('ALINDAO_Cleaned Data'!UM:UM,"prive")</f>
        <v>0</v>
      </c>
      <c r="D179" s="3">
        <f>COUNTIF('ALINDAO_Cleaned Data'!UM:UM,"religieux")</f>
        <v>0</v>
      </c>
      <c r="E179" s="3">
        <f>COUNTIF('ALINDAO_Cleaned Data'!UM:UM,"ong")</f>
        <v>1</v>
      </c>
      <c r="F179" s="3">
        <f>COUNTIF('ALINDAO_Cleaned Data'!UM:UM,"nsp")</f>
        <v>0</v>
      </c>
      <c r="G179" s="123">
        <f>COUNTIF('ALINDAO_Cleaned Data'!UM:UM,"autre")</f>
        <v>0</v>
      </c>
      <c r="H179" s="111">
        <f>SUM(B179:G179)</f>
        <v>1</v>
      </c>
    </row>
    <row r="180" spans="1:8" s="36" customFormat="1" ht="37" x14ac:dyDescent="0.3">
      <c r="A180" s="54" t="s">
        <v>3309</v>
      </c>
      <c r="B180" s="94">
        <f t="shared" ref="B180:G180" si="12">B179/$C$4</f>
        <v>0</v>
      </c>
      <c r="C180" s="94">
        <f t="shared" si="12"/>
        <v>0</v>
      </c>
      <c r="D180" s="94">
        <f t="shared" si="12"/>
        <v>0</v>
      </c>
      <c r="E180" s="94">
        <f t="shared" si="12"/>
        <v>0.5</v>
      </c>
      <c r="F180" s="94">
        <f t="shared" si="12"/>
        <v>0</v>
      </c>
      <c r="G180" s="94">
        <f t="shared" si="12"/>
        <v>0</v>
      </c>
      <c r="H180" s="100">
        <f>SUM(B180:G180)</f>
        <v>0.5</v>
      </c>
    </row>
    <row r="181" spans="1:8" x14ac:dyDescent="0.3">
      <c r="A181" s="14"/>
      <c r="B181" s="14"/>
      <c r="C181" s="14"/>
      <c r="D181" s="14"/>
      <c r="E181" s="14"/>
      <c r="F181" s="14"/>
    </row>
    <row r="182" spans="1:8" ht="15.5" x14ac:dyDescent="0.35">
      <c r="A182" s="45" t="s">
        <v>1474</v>
      </c>
      <c r="B182" s="14"/>
      <c r="C182" s="14"/>
      <c r="D182" s="14"/>
      <c r="E182" s="14"/>
      <c r="F182" s="14"/>
    </row>
    <row r="183" spans="1:8" x14ac:dyDescent="0.3">
      <c r="A183" s="3"/>
      <c r="B183" s="8" t="s">
        <v>1210</v>
      </c>
      <c r="C183" s="8" t="s">
        <v>1209</v>
      </c>
      <c r="D183" s="110" t="s">
        <v>1206</v>
      </c>
      <c r="E183" s="14"/>
      <c r="F183" s="14"/>
    </row>
    <row r="184" spans="1:8" x14ac:dyDescent="0.3">
      <c r="A184" s="3" t="s">
        <v>1207</v>
      </c>
      <c r="B184" s="3">
        <f>COUNTIF('ALINDAO_Cleaned Data'!UO:UO,"oui")</f>
        <v>2</v>
      </c>
      <c r="C184" s="3">
        <f>COUNTIF('ALINDAO_Cleaned Data'!UO:UO,"non")</f>
        <v>0</v>
      </c>
      <c r="D184" s="111">
        <f>SUM(B184:C184)</f>
        <v>2</v>
      </c>
      <c r="E184" s="14"/>
      <c r="F184" s="14"/>
    </row>
    <row r="185" spans="1:8" s="36" customFormat="1" ht="37" x14ac:dyDescent="0.3">
      <c r="A185" s="54" t="s">
        <v>3309</v>
      </c>
      <c r="B185" s="94">
        <f>(B184/$C$4)</f>
        <v>1</v>
      </c>
      <c r="C185" s="94">
        <f>(C184/$C$4)</f>
        <v>0</v>
      </c>
      <c r="D185" s="100">
        <f>SUM(B185:C185)</f>
        <v>1</v>
      </c>
      <c r="E185" s="47"/>
      <c r="F185" s="47"/>
    </row>
    <row r="186" spans="1:8" ht="15.5" x14ac:dyDescent="0.35">
      <c r="A186" s="9"/>
    </row>
    <row r="187" spans="1:8" ht="15.5" x14ac:dyDescent="0.35">
      <c r="A187" s="29" t="s">
        <v>1298</v>
      </c>
      <c r="D187" s="103" t="s">
        <v>3245</v>
      </c>
    </row>
    <row r="188" spans="1:8" x14ac:dyDescent="0.3">
      <c r="A188" s="3"/>
      <c r="B188" s="8" t="s">
        <v>1250</v>
      </c>
      <c r="C188" s="8" t="s">
        <v>1251</v>
      </c>
      <c r="D188" s="8" t="s">
        <v>1905</v>
      </c>
      <c r="E188" s="8" t="s">
        <v>1205</v>
      </c>
      <c r="F188" s="8" t="s">
        <v>1252</v>
      </c>
    </row>
    <row r="189" spans="1:8" x14ac:dyDescent="0.3">
      <c r="A189" s="3" t="s">
        <v>1207</v>
      </c>
      <c r="B189" s="3">
        <f>COUNTIF('ALINDAO_Cleaned Data'!UG:UG,"1")</f>
        <v>0</v>
      </c>
      <c r="C189" s="3">
        <f>COUNTIF('ALINDAO_Cleaned Data'!UH:UH,"1")</f>
        <v>0</v>
      </c>
      <c r="D189" s="3">
        <f>COUNTIF('ALINDAO_Cleaned Data'!UI:UI,"1")</f>
        <v>0</v>
      </c>
      <c r="E189" s="3">
        <f>COUNTIF('ALINDAO_Cleaned Data'!UJ:UJ,"1")</f>
        <v>0</v>
      </c>
      <c r="F189" s="3">
        <f>COUNTIF('ALINDAO_Cleaned Data'!UK:UK,"1")</f>
        <v>2</v>
      </c>
    </row>
    <row r="190" spans="1:8" s="36" customFormat="1" ht="37" x14ac:dyDescent="0.3">
      <c r="A190" s="54" t="s">
        <v>3309</v>
      </c>
      <c r="B190" s="94">
        <f>B189/$C$4</f>
        <v>0</v>
      </c>
      <c r="C190" s="94">
        <f>C189/$C$4</f>
        <v>0</v>
      </c>
      <c r="D190" s="94">
        <f>D189/$C$4</f>
        <v>0</v>
      </c>
      <c r="E190" s="94">
        <f>E189/$C$4</f>
        <v>0</v>
      </c>
      <c r="F190" s="94">
        <f t="shared" ref="F190" si="13">F189/$B$9</f>
        <v>1</v>
      </c>
    </row>
    <row r="192" spans="1:8" ht="15.5" x14ac:dyDescent="0.35">
      <c r="A192" s="29" t="s">
        <v>1299</v>
      </c>
      <c r="D192" s="103" t="s">
        <v>3245</v>
      </c>
    </row>
    <row r="193" spans="1:26" s="36" customFormat="1" ht="76.5" customHeight="1" x14ac:dyDescent="0.35">
      <c r="A193" s="8" t="s">
        <v>1475</v>
      </c>
      <c r="B193" s="8" t="s">
        <v>2075</v>
      </c>
      <c r="C193" s="8" t="s">
        <v>1476</v>
      </c>
      <c r="D193" s="8" t="s">
        <v>1477</v>
      </c>
      <c r="E193" s="8" t="s">
        <v>1478</v>
      </c>
      <c r="F193" s="8" t="s">
        <v>1479</v>
      </c>
      <c r="G193" s="8" t="s">
        <v>1480</v>
      </c>
      <c r="H193" s="8" t="s">
        <v>2076</v>
      </c>
      <c r="I193" s="8" t="s">
        <v>1481</v>
      </c>
      <c r="J193" s="8" t="s">
        <v>1378</v>
      </c>
      <c r="K193" s="8" t="s">
        <v>1482</v>
      </c>
      <c r="L193" s="8" t="s">
        <v>2077</v>
      </c>
      <c r="M193" s="8" t="s">
        <v>2078</v>
      </c>
      <c r="N193" s="8" t="s">
        <v>1381</v>
      </c>
      <c r="O193" s="8" t="s">
        <v>3259</v>
      </c>
      <c r="P193" s="8" t="s">
        <v>1205</v>
      </c>
    </row>
    <row r="194" spans="1:26" x14ac:dyDescent="0.3">
      <c r="A194" s="3">
        <f>COUNTIF('ALINDAO_Cleaned Data'!UQ:UQ,"1")</f>
        <v>1</v>
      </c>
      <c r="B194" s="3">
        <f>COUNTIF('ALINDAO_Cleaned Data'!UR:UR,"1")</f>
        <v>1</v>
      </c>
      <c r="C194" s="3">
        <f>COUNTIF('ALINDAO_Cleaned Data'!US:US,"1")</f>
        <v>2</v>
      </c>
      <c r="D194" s="3">
        <f>COUNTIF('ALINDAO_Cleaned Data'!UT:UT,"1")</f>
        <v>1</v>
      </c>
      <c r="E194" s="3">
        <f>COUNTIF('ALINDAO_Cleaned Data'!UU:UU,"1")</f>
        <v>1</v>
      </c>
      <c r="F194" s="3">
        <f>COUNTIF('ALINDAO_Cleaned Data'!UV:UV,"1")</f>
        <v>2</v>
      </c>
      <c r="G194" s="3">
        <f>COUNTIF('ALINDAO_Cleaned Data'!UW:UW,"1")</f>
        <v>2</v>
      </c>
      <c r="H194" s="3">
        <f>COUNTIF('ALINDAO_Cleaned Data'!UX:UX,"1")</f>
        <v>1</v>
      </c>
      <c r="I194" s="3">
        <f>COUNTIF('ALINDAO_Cleaned Data'!UY:UY,"1")</f>
        <v>1</v>
      </c>
      <c r="J194" s="3">
        <f>COUNTIF('ALINDAO_Cleaned Data'!UZ:UZ,"1")</f>
        <v>1</v>
      </c>
      <c r="K194" s="3">
        <f>COUNTIF('ALINDAO_Cleaned Data'!VA:VA,"1")</f>
        <v>1</v>
      </c>
      <c r="L194" s="3">
        <f>COUNTIF('ALINDAO_Cleaned Data'!VB:VB,"1")</f>
        <v>1</v>
      </c>
      <c r="M194" s="3">
        <f>COUNTIF('ALINDAO_Cleaned Data'!VC:VC,"1")</f>
        <v>1</v>
      </c>
      <c r="N194" s="3">
        <f>COUNTIF('ALINDAO_Cleaned Data'!VD:VD,"1")</f>
        <v>0</v>
      </c>
      <c r="O194" s="3">
        <f>COUNTIF('ALINDAO_Cleaned Data'!VE:VE,"1")</f>
        <v>0</v>
      </c>
      <c r="P194" s="3">
        <f>COUNTIF('ALINDAO_Cleaned Data'!VF:VF,"1")</f>
        <v>1</v>
      </c>
    </row>
    <row r="196" spans="1:26" ht="15.5" x14ac:dyDescent="0.35">
      <c r="A196" s="29" t="s">
        <v>1300</v>
      </c>
      <c r="D196" s="103" t="s">
        <v>3245</v>
      </c>
    </row>
    <row r="197" spans="1:26" ht="28" x14ac:dyDescent="0.3">
      <c r="A197" s="8" t="s">
        <v>1236</v>
      </c>
      <c r="B197" s="8" t="s">
        <v>1256</v>
      </c>
      <c r="C197" s="8" t="s">
        <v>1257</v>
      </c>
      <c r="D197" s="8" t="s">
        <v>1239</v>
      </c>
      <c r="E197" s="8" t="s">
        <v>1240</v>
      </c>
      <c r="F197" s="8" t="s">
        <v>1258</v>
      </c>
      <c r="G197" s="8" t="s">
        <v>1259</v>
      </c>
      <c r="H197" s="8" t="s">
        <v>1260</v>
      </c>
      <c r="I197" s="8" t="s">
        <v>1261</v>
      </c>
      <c r="J197" s="8" t="s">
        <v>1252</v>
      </c>
      <c r="K197" s="8" t="s">
        <v>1905</v>
      </c>
      <c r="L197" s="8" t="s">
        <v>1220</v>
      </c>
    </row>
    <row r="198" spans="1:26" x14ac:dyDescent="0.3">
      <c r="A198" s="24">
        <f>COUNTIF('ALINDAO_Cleaned Data'!VI:VI,"1")</f>
        <v>1</v>
      </c>
      <c r="B198" s="24">
        <f>COUNTIF('ALINDAO_Cleaned Data'!VJ:VJ,"1")</f>
        <v>1</v>
      </c>
      <c r="C198" s="24">
        <f>COUNTIF('ALINDAO_Cleaned Data'!VK:VK,"1")</f>
        <v>0</v>
      </c>
      <c r="D198" s="24">
        <f>COUNTIF('ALINDAO_Cleaned Data'!VL:VL,"1")</f>
        <v>0</v>
      </c>
      <c r="E198" s="24">
        <f>COUNTIF('ALINDAO_Cleaned Data'!VM:VM,"1")</f>
        <v>2</v>
      </c>
      <c r="F198" s="24">
        <f>COUNTIF('ALINDAO_Cleaned Data'!VN:VN,"1")</f>
        <v>0</v>
      </c>
      <c r="G198" s="24">
        <f>COUNTIF('ALINDAO_Cleaned Data'!VO:VO,"1")</f>
        <v>1</v>
      </c>
      <c r="H198" s="24">
        <f>COUNTIF('ALINDAO_Cleaned Data'!VP:VP,"1")</f>
        <v>1</v>
      </c>
      <c r="I198" s="24">
        <f>COUNTIF('ALINDAO_Cleaned Data'!VQ:VQ,"1")</f>
        <v>1</v>
      </c>
      <c r="J198" s="24">
        <f>COUNTIF('ALINDAO_Cleaned Data'!VR:VR,"1")</f>
        <v>0</v>
      </c>
      <c r="K198" s="24">
        <f>COUNTIF('ALINDAO_Cleaned Data'!VS:VS,"1")</f>
        <v>0</v>
      </c>
      <c r="L198" s="24">
        <f>COUNTIF('ALINDAO_Cleaned Data'!VT:VT,"1")</f>
        <v>0</v>
      </c>
    </row>
    <row r="200" spans="1:26" ht="15.5" x14ac:dyDescent="0.35">
      <c r="A200" s="29" t="s">
        <v>1334</v>
      </c>
    </row>
    <row r="201" spans="1:26" x14ac:dyDescent="0.3">
      <c r="A201" s="3"/>
      <c r="B201" s="8" t="s">
        <v>1210</v>
      </c>
      <c r="C201" s="8" t="s">
        <v>1209</v>
      </c>
      <c r="D201" s="110" t="s">
        <v>1206</v>
      </c>
    </row>
    <row r="202" spans="1:26" x14ac:dyDescent="0.3">
      <c r="A202" s="3" t="s">
        <v>1207</v>
      </c>
      <c r="B202" s="24">
        <f>COUNTIF('ALINDAO_Cleaned Data'!VW:VW,"OUI")</f>
        <v>2</v>
      </c>
      <c r="C202" s="24">
        <f>COUNTIF('ALINDAO_Cleaned Data'!VW:VW,"non")</f>
        <v>0</v>
      </c>
      <c r="D202" s="111">
        <f>SUM(B202:C202)</f>
        <v>2</v>
      </c>
    </row>
    <row r="203" spans="1:26" ht="37.5" x14ac:dyDescent="0.3">
      <c r="A203" s="53" t="s">
        <v>3288</v>
      </c>
      <c r="B203" s="39">
        <f>(B202/$C$4)</f>
        <v>1</v>
      </c>
      <c r="C203" s="39">
        <f>(C202/$C$4)</f>
        <v>0</v>
      </c>
      <c r="D203" s="100">
        <f>SUM(B203:C203)</f>
        <v>1</v>
      </c>
    </row>
    <row r="204" spans="1:26" x14ac:dyDescent="0.3">
      <c r="A204" s="91"/>
      <c r="B204" s="15"/>
      <c r="C204" s="15"/>
    </row>
    <row r="205" spans="1:26" s="1" customFormat="1" x14ac:dyDescent="0.3">
      <c r="A205" s="10"/>
      <c r="B205" s="18" t="s">
        <v>1262</v>
      </c>
      <c r="C205" s="10"/>
      <c r="D205" s="103" t="s">
        <v>3245</v>
      </c>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s="56" customFormat="1" ht="28" x14ac:dyDescent="0.3">
      <c r="A206" s="36"/>
      <c r="B206" s="3"/>
      <c r="C206" s="11" t="s">
        <v>1922</v>
      </c>
      <c r="D206" s="11" t="s">
        <v>1369</v>
      </c>
      <c r="E206" s="11" t="s">
        <v>1923</v>
      </c>
      <c r="F206" s="11" t="s">
        <v>1924</v>
      </c>
      <c r="G206" s="11" t="s">
        <v>1925</v>
      </c>
      <c r="H206" s="11" t="s">
        <v>1905</v>
      </c>
      <c r="I206" s="11" t="s">
        <v>1205</v>
      </c>
      <c r="J206" s="61"/>
      <c r="K206" s="61"/>
      <c r="L206" s="36"/>
      <c r="M206" s="36"/>
      <c r="N206" s="36"/>
      <c r="O206" s="36"/>
      <c r="P206" s="36"/>
      <c r="Q206" s="36"/>
      <c r="R206" s="36"/>
      <c r="S206" s="36"/>
      <c r="T206" s="36"/>
      <c r="U206" s="36"/>
      <c r="V206" s="36"/>
      <c r="W206" s="36"/>
      <c r="X206" s="36"/>
      <c r="Y206" s="36"/>
      <c r="Z206" s="36"/>
    </row>
    <row r="207" spans="1:26" s="1" customFormat="1" x14ac:dyDescent="0.3">
      <c r="A207" s="10"/>
      <c r="B207" s="3" t="s">
        <v>1207</v>
      </c>
      <c r="C207" s="24">
        <f>COUNTIF('ALINDAO_Cleaned Data'!VY:VY,"1")</f>
        <v>1</v>
      </c>
      <c r="D207" s="24">
        <f>COUNTIF('ALINDAO_Cleaned Data'!VZ:VZ,"1")</f>
        <v>0</v>
      </c>
      <c r="E207" s="24">
        <f>COUNTIF('ALINDAO_Cleaned Data'!WA:WA,"1")</f>
        <v>1</v>
      </c>
      <c r="F207" s="24">
        <f>COUNTIF('ALINDAO_Cleaned Data'!WB:WB,"1")</f>
        <v>0</v>
      </c>
      <c r="G207" s="24">
        <f>COUNTIF('ALINDAO_Cleaned Data'!WC:WC,"1")</f>
        <v>2</v>
      </c>
      <c r="H207" s="24">
        <f>COUNTIF('ALINDAO_Cleaned Data'!WD:WD,"1")</f>
        <v>0</v>
      </c>
      <c r="I207" s="24">
        <f>COUNTIF('ALINDAO_Cleaned Data'!WE:WE,"1")</f>
        <v>0</v>
      </c>
      <c r="J207" s="10"/>
      <c r="K207" s="10"/>
      <c r="L207" s="10"/>
      <c r="M207" s="10"/>
      <c r="N207" s="10"/>
      <c r="O207" s="10"/>
      <c r="P207" s="10"/>
      <c r="Q207" s="10"/>
      <c r="R207" s="10"/>
      <c r="S207" s="10"/>
      <c r="T207" s="10"/>
      <c r="U207" s="10"/>
      <c r="V207" s="10"/>
      <c r="W207" s="10"/>
      <c r="X207" s="10"/>
      <c r="Y207" s="10"/>
      <c r="Z207" s="10"/>
    </row>
    <row r="208" spans="1:26" s="1" customFormat="1" ht="37.5" x14ac:dyDescent="0.3">
      <c r="A208" s="10"/>
      <c r="B208" s="53" t="s">
        <v>3310</v>
      </c>
      <c r="C208" s="7">
        <f>C207/$B$202</f>
        <v>0.5</v>
      </c>
      <c r="D208" s="7">
        <f t="shared" ref="D208:I208" si="14">D207/$B$202</f>
        <v>0</v>
      </c>
      <c r="E208" s="7">
        <f t="shared" si="14"/>
        <v>0.5</v>
      </c>
      <c r="F208" s="7">
        <f t="shared" si="14"/>
        <v>0</v>
      </c>
      <c r="G208" s="7">
        <f t="shared" si="14"/>
        <v>1</v>
      </c>
      <c r="H208" s="7">
        <f t="shared" si="14"/>
        <v>0</v>
      </c>
      <c r="I208" s="7">
        <f t="shared" si="14"/>
        <v>0</v>
      </c>
      <c r="J208" s="10"/>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0"/>
      <c r="C210" s="10"/>
      <c r="D210" s="10"/>
      <c r="E210" s="10"/>
      <c r="F210" s="10"/>
      <c r="G210" s="10"/>
      <c r="H210" s="10"/>
      <c r="I210" s="74"/>
      <c r="J210" s="10"/>
      <c r="K210" s="10"/>
      <c r="L210" s="10"/>
      <c r="M210" s="10"/>
      <c r="N210" s="10"/>
      <c r="O210" s="10"/>
      <c r="P210" s="10"/>
      <c r="Q210" s="10"/>
      <c r="R210" s="10"/>
      <c r="S210" s="10"/>
      <c r="T210" s="10"/>
      <c r="U210" s="10"/>
      <c r="V210" s="10"/>
      <c r="W210" s="10"/>
      <c r="X210" s="10"/>
      <c r="Y210" s="10"/>
      <c r="Z210" s="10"/>
    </row>
    <row r="211" spans="1:26" s="1" customFormat="1" x14ac:dyDescent="0.3">
      <c r="A211" s="10"/>
      <c r="B211" s="18" t="s">
        <v>1265</v>
      </c>
      <c r="C211" s="10"/>
      <c r="D211" s="103" t="s">
        <v>3245</v>
      </c>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s="56" customFormat="1" ht="56" x14ac:dyDescent="0.3">
      <c r="A212" s="36"/>
      <c r="B212" s="3"/>
      <c r="C212" s="11" t="s">
        <v>1928</v>
      </c>
      <c r="D212" s="11" t="s">
        <v>1926</v>
      </c>
      <c r="E212" s="11" t="s">
        <v>1268</v>
      </c>
      <c r="F212" s="11" t="s">
        <v>1269</v>
      </c>
      <c r="G212" s="11" t="s">
        <v>1927</v>
      </c>
      <c r="H212" s="11" t="s">
        <v>1266</v>
      </c>
      <c r="I212" s="11" t="s">
        <v>1267</v>
      </c>
      <c r="J212" s="11" t="s">
        <v>1929</v>
      </c>
      <c r="K212" s="11" t="s">
        <v>1930</v>
      </c>
      <c r="L212" s="11" t="s">
        <v>1931</v>
      </c>
      <c r="M212" s="11" t="s">
        <v>1932</v>
      </c>
      <c r="N212" s="11" t="s">
        <v>1905</v>
      </c>
      <c r="O212" s="11" t="s">
        <v>1220</v>
      </c>
      <c r="P212" s="61"/>
      <c r="Q212" s="61"/>
      <c r="S212" s="36"/>
      <c r="T212" s="36"/>
      <c r="U212" s="36"/>
      <c r="V212" s="36"/>
      <c r="W212" s="36"/>
      <c r="X212" s="36"/>
      <c r="Y212" s="36"/>
      <c r="Z212" s="36"/>
    </row>
    <row r="213" spans="1:26" s="1" customFormat="1" x14ac:dyDescent="0.3">
      <c r="A213" s="10"/>
      <c r="B213" s="3" t="s">
        <v>1207</v>
      </c>
      <c r="C213" s="24">
        <f>COUNTIF('ALINDAO_Cleaned Data'!WH:WH,"1")</f>
        <v>2</v>
      </c>
      <c r="D213" s="24">
        <f>COUNTIF('ALINDAO_Cleaned Data'!WI:WI,"1")</f>
        <v>1</v>
      </c>
      <c r="E213" s="24">
        <f>COUNTIF('ALINDAO_Cleaned Data'!WJ:WJ,"1")</f>
        <v>1</v>
      </c>
      <c r="F213" s="24">
        <f>COUNTIF('ALINDAO_Cleaned Data'!WK:WK,"1")</f>
        <v>1</v>
      </c>
      <c r="G213" s="24">
        <f>COUNTIF('ALINDAO_Cleaned Data'!WL:WL,"1")</f>
        <v>1</v>
      </c>
      <c r="H213" s="24">
        <f>COUNTIF('ALINDAO_Cleaned Data'!WM:WM,"1")</f>
        <v>1</v>
      </c>
      <c r="I213" s="24">
        <f>COUNTIF('ALINDAO_Cleaned Data'!WN:WN,"1")</f>
        <v>2</v>
      </c>
      <c r="J213" s="24">
        <f>COUNTIF('ALINDAO_Cleaned Data'!WO:WO,"1")</f>
        <v>1</v>
      </c>
      <c r="K213" s="24">
        <f>COUNTIF('ALINDAO_Cleaned Data'!WP:WP,"1")</f>
        <v>1</v>
      </c>
      <c r="L213" s="24">
        <f>COUNTIF('ALINDAO_Cleaned Data'!WQ:WQ,"1")</f>
        <v>2</v>
      </c>
      <c r="M213" s="24">
        <f>COUNTIF('ALINDAO_Cleaned Data'!WR:WR,"1")</f>
        <v>1</v>
      </c>
      <c r="N213" s="24">
        <f>COUNTIF('ALINDAO_Cleaned Data'!WS:WS,"1")</f>
        <v>0</v>
      </c>
      <c r="O213" s="24">
        <f>COUNTIF('ALINDAO_Cleaned Data'!WT:WT,"1")</f>
        <v>0</v>
      </c>
      <c r="P213" s="10"/>
      <c r="Q213" s="10"/>
      <c r="R213" s="10"/>
      <c r="S213" s="10"/>
      <c r="T213" s="10"/>
      <c r="U213" s="10"/>
      <c r="V213" s="10"/>
      <c r="W213" s="10"/>
      <c r="X213" s="10"/>
      <c r="Y213" s="10"/>
      <c r="Z213" s="10"/>
    </row>
    <row r="214" spans="1:26" s="1" customFormat="1" ht="37.5" x14ac:dyDescent="0.3">
      <c r="A214" s="10"/>
      <c r="B214" s="53" t="s">
        <v>3310</v>
      </c>
      <c r="C214" s="7">
        <f>C213/$B$202</f>
        <v>1</v>
      </c>
      <c r="D214" s="7">
        <f t="shared" ref="D214:O214" si="15">D213/$B$202</f>
        <v>0.5</v>
      </c>
      <c r="E214" s="7">
        <f t="shared" si="15"/>
        <v>0.5</v>
      </c>
      <c r="F214" s="7">
        <f t="shared" si="15"/>
        <v>0.5</v>
      </c>
      <c r="G214" s="7">
        <f t="shared" si="15"/>
        <v>0.5</v>
      </c>
      <c r="H214" s="7">
        <f t="shared" si="15"/>
        <v>0.5</v>
      </c>
      <c r="I214" s="7">
        <f t="shared" si="15"/>
        <v>1</v>
      </c>
      <c r="J214" s="7">
        <f t="shared" si="15"/>
        <v>0.5</v>
      </c>
      <c r="K214" s="7">
        <f t="shared" si="15"/>
        <v>0.5</v>
      </c>
      <c r="L214" s="7">
        <f t="shared" si="15"/>
        <v>1</v>
      </c>
      <c r="M214" s="7">
        <f t="shared" si="15"/>
        <v>0.5</v>
      </c>
      <c r="N214" s="7">
        <f t="shared" si="15"/>
        <v>0</v>
      </c>
      <c r="O214" s="7">
        <f t="shared" si="15"/>
        <v>0</v>
      </c>
      <c r="P214" s="10"/>
      <c r="Q214" s="10"/>
      <c r="R214" s="10"/>
      <c r="S214" s="10"/>
      <c r="T214" s="10"/>
      <c r="U214" s="10"/>
      <c r="V214" s="10"/>
      <c r="W214" s="10"/>
      <c r="X214" s="10"/>
      <c r="Y214" s="10"/>
      <c r="Z214" s="10"/>
    </row>
    <row r="215" spans="1:26" x14ac:dyDescent="0.3">
      <c r="B215" s="15"/>
      <c r="C215" s="15"/>
      <c r="D215" s="15"/>
      <c r="E215" s="15"/>
      <c r="F215" s="15"/>
      <c r="G215" s="15"/>
      <c r="H215" s="15"/>
    </row>
    <row r="216" spans="1:26" s="1" customFormat="1" x14ac:dyDescent="0.3">
      <c r="A216" s="10"/>
      <c r="B216" s="18" t="s">
        <v>1406</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c r="C217" s="11" t="s">
        <v>1210</v>
      </c>
      <c r="D217" s="11" t="s">
        <v>1209</v>
      </c>
      <c r="E217" s="110" t="s">
        <v>1206</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x14ac:dyDescent="0.3">
      <c r="A218" s="10"/>
      <c r="B218" s="3" t="s">
        <v>1207</v>
      </c>
      <c r="C218" s="24">
        <f>COUNTIF('ALINDAO_Cleaned Data'!WV:WV,"OUI")</f>
        <v>1</v>
      </c>
      <c r="D218" s="24">
        <f>COUNTIF('ALINDAO_Cleaned Data'!WV:WV,"non")</f>
        <v>1</v>
      </c>
      <c r="E218" s="111">
        <f>SUM(C218:D218)</f>
        <v>2</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ht="37.5" x14ac:dyDescent="0.3">
      <c r="A219" s="10"/>
      <c r="B219" s="53" t="s">
        <v>3310</v>
      </c>
      <c r="C219" s="7">
        <f>(C218/$B$202)</f>
        <v>0.5</v>
      </c>
      <c r="D219" s="7">
        <f>(D218/$B$202)</f>
        <v>0.5</v>
      </c>
      <c r="E219" s="100">
        <f>SUM(C219:D219)</f>
        <v>1</v>
      </c>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18" t="s">
        <v>1270</v>
      </c>
      <c r="D221" s="10"/>
      <c r="E221" s="103" t="s">
        <v>3245</v>
      </c>
      <c r="F221" s="10"/>
      <c r="G221" s="10"/>
      <c r="H221" s="10"/>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c r="D222" s="11" t="s">
        <v>1271</v>
      </c>
      <c r="E222" s="11" t="s">
        <v>1272</v>
      </c>
      <c r="F222" s="11" t="s">
        <v>1273</v>
      </c>
      <c r="G222" s="11" t="s">
        <v>1274</v>
      </c>
      <c r="H222" s="11" t="s">
        <v>1205</v>
      </c>
      <c r="I222" s="10"/>
      <c r="J222" s="10"/>
      <c r="K222" s="10"/>
      <c r="L222" s="10"/>
      <c r="M222" s="10"/>
      <c r="N222" s="10"/>
      <c r="O222" s="10"/>
      <c r="P222" s="10"/>
      <c r="Q222" s="10"/>
      <c r="R222" s="10"/>
      <c r="S222" s="10"/>
      <c r="T222" s="10"/>
      <c r="U222" s="10"/>
      <c r="V222" s="10"/>
      <c r="W222" s="10"/>
      <c r="X222" s="10"/>
      <c r="Y222" s="10"/>
      <c r="Z222" s="10"/>
    </row>
    <row r="223" spans="1:26" s="1" customFormat="1" x14ac:dyDescent="0.3">
      <c r="A223" s="10"/>
      <c r="B223" s="10"/>
      <c r="C223" s="3" t="s">
        <v>1207</v>
      </c>
      <c r="D223" s="4">
        <f>COUNTIF('ALINDAO_Cleaned Data'!WX:WX,"1")</f>
        <v>0</v>
      </c>
      <c r="E223" s="4">
        <f>COUNTIF('ALINDAO_Cleaned Data'!WY:WY,"1")</f>
        <v>1</v>
      </c>
      <c r="F223" s="4">
        <f>COUNTIF('ALINDAO_Cleaned Data'!WZ:WZ,"1")</f>
        <v>0</v>
      </c>
      <c r="G223" s="4">
        <f>COUNTIF('ALINDAO_Cleaned Data'!XA:XA,"1")</f>
        <v>0</v>
      </c>
      <c r="H223" s="4">
        <f>COUNTIF('ALINDAO_Cleaned Data'!XB:XB,"1")</f>
        <v>0</v>
      </c>
      <c r="I223" s="10"/>
      <c r="J223" s="10"/>
      <c r="K223" s="10"/>
      <c r="L223" s="10"/>
      <c r="M223" s="10"/>
      <c r="N223" s="10"/>
      <c r="O223" s="10"/>
      <c r="P223" s="10"/>
      <c r="Q223" s="10"/>
      <c r="R223" s="10"/>
      <c r="S223" s="10"/>
      <c r="T223" s="10"/>
      <c r="U223" s="10"/>
      <c r="V223" s="10"/>
      <c r="W223" s="10"/>
      <c r="X223" s="10"/>
      <c r="Y223" s="10"/>
      <c r="Z223" s="10"/>
    </row>
    <row r="224" spans="1:26" s="1" customFormat="1" ht="49" x14ac:dyDescent="0.3">
      <c r="A224" s="10"/>
      <c r="B224" s="10"/>
      <c r="C224" s="53" t="s">
        <v>3311</v>
      </c>
      <c r="D224" s="7">
        <f>D223/$D$218</f>
        <v>0</v>
      </c>
      <c r="E224" s="7">
        <f t="shared" ref="E224:H224" si="16">E223/$D$218</f>
        <v>1</v>
      </c>
      <c r="F224" s="7">
        <f t="shared" si="16"/>
        <v>0</v>
      </c>
      <c r="G224" s="7">
        <f t="shared" si="16"/>
        <v>0</v>
      </c>
      <c r="H224" s="7">
        <f t="shared" si="16"/>
        <v>0</v>
      </c>
      <c r="I224" s="10"/>
      <c r="J224" s="10"/>
      <c r="K224" s="10"/>
      <c r="L224" s="10"/>
      <c r="M224" s="10"/>
      <c r="N224" s="10"/>
      <c r="O224" s="10"/>
      <c r="P224" s="10"/>
      <c r="Q224" s="10"/>
      <c r="R224" s="10"/>
      <c r="S224" s="10"/>
      <c r="T224" s="10"/>
      <c r="U224" s="10"/>
      <c r="V224" s="10"/>
      <c r="W224" s="10"/>
      <c r="X224" s="10"/>
      <c r="Y224" s="10"/>
      <c r="Z224" s="10"/>
    </row>
    <row r="226" spans="1:13" ht="15.5" x14ac:dyDescent="0.35">
      <c r="A226" s="9" t="s">
        <v>1301</v>
      </c>
      <c r="C226" s="103" t="s">
        <v>3245</v>
      </c>
    </row>
    <row r="227" spans="1:13" s="36" customFormat="1" ht="84" x14ac:dyDescent="0.35">
      <c r="A227" s="8" t="s">
        <v>2081</v>
      </c>
      <c r="B227" s="8" t="s">
        <v>1483</v>
      </c>
      <c r="C227" s="8" t="s">
        <v>2082</v>
      </c>
      <c r="D227" s="8" t="s">
        <v>2083</v>
      </c>
      <c r="E227" s="8" t="s">
        <v>2084</v>
      </c>
      <c r="F227" s="8" t="s">
        <v>1484</v>
      </c>
      <c r="G227" s="8" t="s">
        <v>1268</v>
      </c>
      <c r="H227" s="8" t="s">
        <v>2085</v>
      </c>
      <c r="I227" s="8" t="s">
        <v>2086</v>
      </c>
      <c r="J227" s="8" t="s">
        <v>2087</v>
      </c>
      <c r="K227" s="8" t="s">
        <v>2088</v>
      </c>
      <c r="L227" s="8" t="s">
        <v>1905</v>
      </c>
      <c r="M227" s="8" t="s">
        <v>1220</v>
      </c>
    </row>
    <row r="228" spans="1:13" x14ac:dyDescent="0.3">
      <c r="A228" s="24">
        <f>COUNTIF('ALINDAO_Cleaned Data'!XE:XE,"1")</f>
        <v>2</v>
      </c>
      <c r="B228" s="24">
        <f>COUNTIF('ALINDAO_Cleaned Data'!XF:XF,"1")</f>
        <v>2</v>
      </c>
      <c r="C228" s="24">
        <f>COUNTIF('ALINDAO_Cleaned Data'!XG:XG,"1")</f>
        <v>1</v>
      </c>
      <c r="D228" s="24">
        <f>COUNTIF('ALINDAO_Cleaned Data'!XH:XH,"1")</f>
        <v>2</v>
      </c>
      <c r="E228" s="24">
        <f>COUNTIF('ALINDAO_Cleaned Data'!XI:XI,"1")</f>
        <v>2</v>
      </c>
      <c r="F228" s="24">
        <f>COUNTIF('ALINDAO_Cleaned Data'!XJ:XJ,"1")</f>
        <v>2</v>
      </c>
      <c r="G228" s="24">
        <f>COUNTIF('ALINDAO_Cleaned Data'!XK:XK,"1")</f>
        <v>2</v>
      </c>
      <c r="H228" s="24">
        <f>COUNTIF('ALINDAO_Cleaned Data'!XL:XL,"1")</f>
        <v>2</v>
      </c>
      <c r="I228" s="24">
        <f>COUNTIF('ALINDAO_Cleaned Data'!XM:XM,"1")</f>
        <v>2</v>
      </c>
      <c r="J228" s="24">
        <f>COUNTIF('ALINDAO_Cleaned Data'!XN:XN,"1")</f>
        <v>1</v>
      </c>
      <c r="K228" s="24">
        <f>COUNTIF('ALINDAO_Cleaned Data'!XO:XO,"1")</f>
        <v>1</v>
      </c>
      <c r="L228" s="24">
        <f>COUNTIF('ALINDAO_Cleaned Data'!XP:XP,"1")</f>
        <v>0</v>
      </c>
      <c r="M228" s="24">
        <f>COUNTIF('ALINDAO_Cleaned Data'!XQ:XQ,"1")</f>
        <v>1</v>
      </c>
    </row>
    <row r="229" spans="1:13" x14ac:dyDescent="0.3">
      <c r="M229" s="74" t="s">
        <v>3312</v>
      </c>
    </row>
    <row r="230" spans="1:13" ht="15.5" x14ac:dyDescent="0.35">
      <c r="A230" s="9" t="s">
        <v>1485</v>
      </c>
    </row>
    <row r="231" spans="1:13" ht="15.5" x14ac:dyDescent="0.35">
      <c r="A231" s="29" t="s">
        <v>1486</v>
      </c>
    </row>
    <row r="232" spans="1:13" x14ac:dyDescent="0.3">
      <c r="A232" s="3"/>
      <c r="B232" s="8" t="s">
        <v>1210</v>
      </c>
      <c r="C232" s="8" t="s">
        <v>1209</v>
      </c>
      <c r="D232" s="110" t="s">
        <v>1206</v>
      </c>
    </row>
    <row r="233" spans="1:13" x14ac:dyDescent="0.3">
      <c r="A233" s="3" t="s">
        <v>1207</v>
      </c>
      <c r="B233" s="4">
        <f>COUNTIF('ALINDAO_Cleaned Data'!XT:XT,"OUI")</f>
        <v>2</v>
      </c>
      <c r="C233" s="4">
        <f>COUNTIF('ALINDAO_Cleaned Data'!XT:XT,"non")</f>
        <v>0</v>
      </c>
      <c r="D233" s="111">
        <f>SUM(B233:C233)</f>
        <v>2</v>
      </c>
    </row>
    <row r="234" spans="1:13" s="36" customFormat="1" ht="37" x14ac:dyDescent="0.3">
      <c r="A234" s="54" t="s">
        <v>3301</v>
      </c>
      <c r="B234" s="120">
        <f>(B233/$E$9)</f>
        <v>1</v>
      </c>
      <c r="C234" s="120">
        <f>(C233/$E$9)</f>
        <v>0</v>
      </c>
      <c r="D234" s="100">
        <f>SUM(B234:C234)</f>
        <v>1</v>
      </c>
    </row>
    <row r="236" spans="1:13" x14ac:dyDescent="0.3">
      <c r="B236" s="18" t="s">
        <v>1487</v>
      </c>
      <c r="D236" s="103" t="s">
        <v>3245</v>
      </c>
    </row>
    <row r="237" spans="1:13" s="36" customFormat="1" ht="56" x14ac:dyDescent="0.3">
      <c r="B237" s="3"/>
      <c r="C237" s="11" t="s">
        <v>1488</v>
      </c>
      <c r="D237" s="11" t="s">
        <v>1489</v>
      </c>
      <c r="E237" s="11" t="s">
        <v>1490</v>
      </c>
      <c r="F237" s="11" t="s">
        <v>1491</v>
      </c>
      <c r="G237" s="11" t="s">
        <v>1492</v>
      </c>
      <c r="H237" s="11" t="s">
        <v>1493</v>
      </c>
      <c r="I237" s="11" t="s">
        <v>3259</v>
      </c>
      <c r="J237" s="11" t="s">
        <v>1205</v>
      </c>
    </row>
    <row r="238" spans="1:13" x14ac:dyDescent="0.3">
      <c r="B238" s="3" t="s">
        <v>1207</v>
      </c>
      <c r="C238" s="24">
        <f>COUNTIF('ALINDAO_Cleaned Data'!XV:XV,"1")</f>
        <v>1</v>
      </c>
      <c r="D238" s="24">
        <f>COUNTIF('ALINDAO_Cleaned Data'!XW:XW,"1")</f>
        <v>2</v>
      </c>
      <c r="E238" s="24">
        <f>COUNTIF('ALINDAO_Cleaned Data'!XX:XX,"1")</f>
        <v>2</v>
      </c>
      <c r="F238" s="24">
        <f>COUNTIF('ALINDAO_Cleaned Data'!XY:XY,"1")</f>
        <v>2</v>
      </c>
      <c r="G238" s="24">
        <f>COUNTIF('ALINDAO_Cleaned Data'!XZ:XZ,"1")</f>
        <v>2</v>
      </c>
      <c r="H238" s="24">
        <f>COUNTIF('ALINDAO_Cleaned Data'!YA:YA,"1")</f>
        <v>1</v>
      </c>
      <c r="I238" s="24">
        <f>COUNTIF('ALINDAO_Cleaned Data'!YB:YB,"1")</f>
        <v>0</v>
      </c>
      <c r="J238" s="24">
        <f>COUNTIF('ALINDAO_Cleaned Data'!YC:YC,"1")</f>
        <v>0</v>
      </c>
    </row>
    <row r="239" spans="1:13" ht="37" x14ac:dyDescent="0.3">
      <c r="B239" s="54" t="s">
        <v>3313</v>
      </c>
      <c r="C239" s="120">
        <f>(C238/$B$233)</f>
        <v>0.5</v>
      </c>
      <c r="D239" s="120">
        <f t="shared" ref="D239:J239" si="17">(D238/$B$233)</f>
        <v>1</v>
      </c>
      <c r="E239" s="120">
        <f t="shared" si="17"/>
        <v>1</v>
      </c>
      <c r="F239" s="120">
        <f t="shared" si="17"/>
        <v>1</v>
      </c>
      <c r="G239" s="120">
        <f t="shared" si="17"/>
        <v>1</v>
      </c>
      <c r="H239" s="120">
        <f t="shared" si="17"/>
        <v>0.5</v>
      </c>
      <c r="I239" s="120">
        <f t="shared" si="17"/>
        <v>0</v>
      </c>
      <c r="J239" s="120">
        <f t="shared" si="17"/>
        <v>0</v>
      </c>
    </row>
    <row r="241" spans="1:4" ht="15.5" x14ac:dyDescent="0.35">
      <c r="A241" s="29" t="s">
        <v>1494</v>
      </c>
    </row>
    <row r="242" spans="1:4" x14ac:dyDescent="0.3">
      <c r="A242" s="3"/>
      <c r="B242" s="8" t="s">
        <v>1210</v>
      </c>
      <c r="C242" s="8" t="s">
        <v>1209</v>
      </c>
      <c r="D242" s="110" t="s">
        <v>1206</v>
      </c>
    </row>
    <row r="243" spans="1:4" x14ac:dyDescent="0.3">
      <c r="A243" s="3" t="s">
        <v>1207</v>
      </c>
      <c r="B243" s="4">
        <f>COUNTIF('ALINDAO_Cleaned Data'!YE:YE,"OUI")</f>
        <v>2</v>
      </c>
      <c r="C243" s="4">
        <f>COUNTIF('ALINDAO_Cleaned Data'!YE:YE,"non")</f>
        <v>0</v>
      </c>
      <c r="D243" s="111">
        <f>SUM(B243:C243)</f>
        <v>2</v>
      </c>
    </row>
    <row r="244" spans="1:4" ht="37" x14ac:dyDescent="0.3">
      <c r="A244" s="54" t="s">
        <v>3301</v>
      </c>
      <c r="B244" s="120">
        <f>(B243/$E$9)</f>
        <v>1</v>
      </c>
      <c r="C244" s="120">
        <f>(C243/$E$9)</f>
        <v>0</v>
      </c>
      <c r="D244" s="100">
        <f>SUM(B244:C244)</f>
        <v>1</v>
      </c>
    </row>
    <row r="246" spans="1:4" ht="15.5" x14ac:dyDescent="0.35">
      <c r="A246" s="29" t="s">
        <v>1495</v>
      </c>
    </row>
    <row r="247" spans="1:4" x14ac:dyDescent="0.3">
      <c r="A247" s="3"/>
      <c r="B247" s="8" t="s">
        <v>1210</v>
      </c>
      <c r="C247" s="8" t="s">
        <v>1209</v>
      </c>
      <c r="D247" s="110" t="s">
        <v>1206</v>
      </c>
    </row>
    <row r="248" spans="1:4" x14ac:dyDescent="0.3">
      <c r="A248" s="3" t="s">
        <v>1207</v>
      </c>
      <c r="B248" s="4">
        <f>COUNTIF('ALINDAO_Cleaned Data'!YF:YF,"OUI")</f>
        <v>0</v>
      </c>
      <c r="C248" s="4">
        <f>COUNTIF('ALINDAO_Cleaned Data'!YF:YF,"non")</f>
        <v>2</v>
      </c>
      <c r="D248" s="111">
        <f>SUM(B248:C248)</f>
        <v>2</v>
      </c>
    </row>
    <row r="249" spans="1:4" ht="37" x14ac:dyDescent="0.3">
      <c r="A249" s="54" t="s">
        <v>3301</v>
      </c>
      <c r="B249" s="120">
        <f>(B248/$E$9)</f>
        <v>0</v>
      </c>
      <c r="C249" s="120">
        <f>(C248/$E$9)</f>
        <v>1</v>
      </c>
      <c r="D249" s="100">
        <f>SUM(B249:C249)</f>
        <v>1</v>
      </c>
    </row>
    <row r="251" spans="1:4" ht="15.5" x14ac:dyDescent="0.35">
      <c r="A251" s="29" t="s">
        <v>1496</v>
      </c>
    </row>
    <row r="252" spans="1:4" x14ac:dyDescent="0.3">
      <c r="A252" s="3"/>
      <c r="B252" s="8" t="s">
        <v>1210</v>
      </c>
      <c r="C252" s="8" t="s">
        <v>1209</v>
      </c>
      <c r="D252" s="110" t="s">
        <v>1206</v>
      </c>
    </row>
    <row r="253" spans="1:4" x14ac:dyDescent="0.3">
      <c r="A253" s="3" t="s">
        <v>1207</v>
      </c>
      <c r="B253" s="4">
        <f>COUNTIF('ALINDAO_Cleaned Data'!YH:YH,"OUI")</f>
        <v>2</v>
      </c>
      <c r="C253" s="4">
        <f>COUNTIF('ALINDAO_Cleaned Data'!YH:YH,"non")</f>
        <v>0</v>
      </c>
      <c r="D253" s="111">
        <f>SUM(B253:C253)</f>
        <v>2</v>
      </c>
    </row>
    <row r="254" spans="1:4" ht="37" x14ac:dyDescent="0.3">
      <c r="A254" s="54" t="s">
        <v>3301</v>
      </c>
      <c r="B254" s="120">
        <f>(B253/$E$9)</f>
        <v>1</v>
      </c>
      <c r="C254" s="120">
        <f>(C253/$E$9)</f>
        <v>0</v>
      </c>
      <c r="D254" s="100">
        <f>SUM(B254:C254)</f>
        <v>1</v>
      </c>
    </row>
    <row r="256" spans="1:4" x14ac:dyDescent="0.3">
      <c r="B256" s="18" t="s">
        <v>1497</v>
      </c>
      <c r="D256" s="103" t="s">
        <v>3245</v>
      </c>
    </row>
    <row r="257" spans="1:10" s="36" customFormat="1" ht="42" x14ac:dyDescent="0.3">
      <c r="B257" s="3"/>
      <c r="C257" s="11" t="s">
        <v>1488</v>
      </c>
      <c r="D257" s="11" t="s">
        <v>1498</v>
      </c>
      <c r="E257" s="11" t="s">
        <v>1503</v>
      </c>
      <c r="F257" s="11" t="s">
        <v>1499</v>
      </c>
      <c r="G257" s="11" t="s">
        <v>1500</v>
      </c>
      <c r="H257" s="11" t="s">
        <v>1501</v>
      </c>
      <c r="I257" s="11" t="s">
        <v>1502</v>
      </c>
      <c r="J257" s="11" t="s">
        <v>1220</v>
      </c>
    </row>
    <row r="258" spans="1:10" x14ac:dyDescent="0.3">
      <c r="B258" s="3" t="s">
        <v>1207</v>
      </c>
      <c r="C258" s="24">
        <f>COUNTIF('ALINDAO_Cleaned Data'!YJ:YJ,"1")</f>
        <v>2</v>
      </c>
      <c r="D258" s="24">
        <f>COUNTIF('ALINDAO_Cleaned Data'!YK:YK,"1")</f>
        <v>2</v>
      </c>
      <c r="E258" s="24">
        <f>COUNTIF('ALINDAO_Cleaned Data'!YL:YL,"1")</f>
        <v>2</v>
      </c>
      <c r="F258" s="24">
        <f>COUNTIF('ALINDAO_Cleaned Data'!YM:YM,"1")</f>
        <v>2</v>
      </c>
      <c r="G258" s="24">
        <f>COUNTIF('ALINDAO_Cleaned Data'!YN:YN,"1")</f>
        <v>2</v>
      </c>
      <c r="H258" s="24">
        <f>COUNTIF('ALINDAO_Cleaned Data'!YO:YO,"1")</f>
        <v>1</v>
      </c>
      <c r="I258" s="24">
        <f>COUNTIF('ALINDAO_Cleaned Data'!YP:YP,"1")</f>
        <v>0</v>
      </c>
      <c r="J258" s="24">
        <f>COUNTIF('ALINDAO_Cleaned Data'!YQ:YQ,"1")</f>
        <v>0</v>
      </c>
    </row>
    <row r="259" spans="1:10" ht="49" x14ac:dyDescent="0.3">
      <c r="B259" s="53" t="s">
        <v>3314</v>
      </c>
      <c r="C259" s="120">
        <f>C258/$B$253</f>
        <v>1</v>
      </c>
      <c r="D259" s="120">
        <f t="shared" ref="D259:J259" si="18">D258/$B$253</f>
        <v>1</v>
      </c>
      <c r="E259" s="120">
        <f t="shared" si="18"/>
        <v>1</v>
      </c>
      <c r="F259" s="120">
        <f t="shared" si="18"/>
        <v>1</v>
      </c>
      <c r="G259" s="120">
        <f t="shared" si="18"/>
        <v>1</v>
      </c>
      <c r="H259" s="120">
        <f t="shared" si="18"/>
        <v>0.5</v>
      </c>
      <c r="I259" s="120">
        <f t="shared" si="18"/>
        <v>0</v>
      </c>
      <c r="J259" s="120">
        <f t="shared" si="18"/>
        <v>0</v>
      </c>
    </row>
    <row r="261" spans="1:10" x14ac:dyDescent="0.3">
      <c r="B261" s="18" t="s">
        <v>1504</v>
      </c>
    </row>
    <row r="262" spans="1:10" x14ac:dyDescent="0.3">
      <c r="B262" s="3"/>
      <c r="C262" s="6" t="s">
        <v>1210</v>
      </c>
      <c r="D262" s="6" t="s">
        <v>1209</v>
      </c>
      <c r="E262" s="110" t="s">
        <v>1206</v>
      </c>
    </row>
    <row r="263" spans="1:10" x14ac:dyDescent="0.3">
      <c r="B263" s="3" t="s">
        <v>1207</v>
      </c>
      <c r="C263" s="4">
        <f>COUNTIF('ALINDAO_Cleaned Data'!YS:YS,"oui")</f>
        <v>0</v>
      </c>
      <c r="D263" s="4">
        <f>COUNTIF('ALINDAO_Cleaned Data'!YS:YS,"non")</f>
        <v>2</v>
      </c>
      <c r="E263" s="111">
        <f>SUM(C263:D263)</f>
        <v>2</v>
      </c>
    </row>
    <row r="264" spans="1:10" ht="49" x14ac:dyDescent="0.3">
      <c r="B264" s="53" t="s">
        <v>3314</v>
      </c>
      <c r="C264" s="7">
        <f>(C263/$B$253)</f>
        <v>0</v>
      </c>
      <c r="D264" s="7">
        <f>(D263/$B$253)</f>
        <v>1</v>
      </c>
      <c r="E264" s="100">
        <f>SUM(C264:D264)</f>
        <v>1</v>
      </c>
    </row>
    <row r="266" spans="1:10" x14ac:dyDescent="0.3">
      <c r="C266" s="18" t="s">
        <v>1262</v>
      </c>
      <c r="E266" s="103" t="s">
        <v>3245</v>
      </c>
    </row>
    <row r="267" spans="1:10" ht="28" x14ac:dyDescent="0.3">
      <c r="C267" s="3"/>
      <c r="D267" s="11" t="s">
        <v>1505</v>
      </c>
      <c r="E267" s="11" t="s">
        <v>1506</v>
      </c>
      <c r="F267" s="11" t="s">
        <v>1507</v>
      </c>
      <c r="G267" s="11" t="s">
        <v>1508</v>
      </c>
      <c r="H267" s="11" t="s">
        <v>1220</v>
      </c>
    </row>
    <row r="268" spans="1:10" x14ac:dyDescent="0.3">
      <c r="C268" s="3" t="s">
        <v>1207</v>
      </c>
      <c r="D268" s="24">
        <f>COUNTIF('ALINDAO_Cleaned Data'!YU:YU,"1")</f>
        <v>0</v>
      </c>
      <c r="E268" s="24">
        <f>COUNTIF('ALINDAO_Cleaned Data'!YV:YV,"1")</f>
        <v>0</v>
      </c>
      <c r="F268" s="24">
        <f>COUNTIF('ALINDAO_Cleaned Data'!YW:YW,"1")</f>
        <v>0</v>
      </c>
      <c r="G268" s="24">
        <f>COUNTIF('ALINDAO_Cleaned Data'!YX:YX,"1")</f>
        <v>0</v>
      </c>
      <c r="H268" s="24">
        <f>COUNTIF('ALINDAO_Cleaned Data'!YY:YY,"1")</f>
        <v>0</v>
      </c>
    </row>
    <row r="269" spans="1:10" ht="60.5" x14ac:dyDescent="0.3">
      <c r="C269" s="53" t="s">
        <v>3314</v>
      </c>
      <c r="D269" s="7">
        <f>(D268/$B$253)</f>
        <v>0</v>
      </c>
      <c r="E269" s="7">
        <f t="shared" ref="E269:H269" si="19">(E268/$B$253)</f>
        <v>0</v>
      </c>
      <c r="F269" s="7">
        <f t="shared" si="19"/>
        <v>0</v>
      </c>
      <c r="G269" s="7">
        <f t="shared" si="19"/>
        <v>0</v>
      </c>
      <c r="H269" s="7">
        <f t="shared" si="19"/>
        <v>0</v>
      </c>
    </row>
    <row r="271" spans="1:10" ht="15.5" x14ac:dyDescent="0.35">
      <c r="A271" s="29" t="s">
        <v>1509</v>
      </c>
    </row>
    <row r="272" spans="1:10" x14ac:dyDescent="0.3">
      <c r="A272" s="3"/>
      <c r="B272" s="8" t="s">
        <v>1210</v>
      </c>
      <c r="C272" s="8" t="s">
        <v>1209</v>
      </c>
      <c r="D272" s="110" t="s">
        <v>1206</v>
      </c>
    </row>
    <row r="273" spans="1:4" x14ac:dyDescent="0.3">
      <c r="A273" s="3" t="s">
        <v>1207</v>
      </c>
      <c r="B273" s="4">
        <f>COUNTIF('ALINDAO_Cleaned Data'!ZA:ZA,"OUI")</f>
        <v>2</v>
      </c>
      <c r="C273" s="4">
        <f>COUNTIF('ALINDAO_Cleaned Data'!ZA:ZA,"non")</f>
        <v>0</v>
      </c>
      <c r="D273" s="111">
        <f>SUM(B273:C273)</f>
        <v>2</v>
      </c>
    </row>
    <row r="274" spans="1:4" ht="37.5" x14ac:dyDescent="0.3">
      <c r="A274" s="53" t="s">
        <v>3290</v>
      </c>
      <c r="B274" s="39">
        <f>(B273/$E$9)</f>
        <v>1</v>
      </c>
      <c r="C274" s="39">
        <f>(C273/$E$9)</f>
        <v>0</v>
      </c>
      <c r="D274" s="100">
        <f>SUM(B274:C274)</f>
        <v>1</v>
      </c>
    </row>
    <row r="275" spans="1:4" x14ac:dyDescent="0.3">
      <c r="D275" s="124"/>
    </row>
    <row r="276" spans="1:4" ht="15.5" x14ac:dyDescent="0.35">
      <c r="A276" s="29" t="s">
        <v>1511</v>
      </c>
    </row>
    <row r="277" spans="1:4" x14ac:dyDescent="0.3">
      <c r="A277" s="3"/>
      <c r="B277" s="8" t="s">
        <v>1210</v>
      </c>
      <c r="C277" s="8" t="s">
        <v>1209</v>
      </c>
      <c r="D277" s="110" t="s">
        <v>1206</v>
      </c>
    </row>
    <row r="278" spans="1:4" x14ac:dyDescent="0.3">
      <c r="A278" s="3" t="s">
        <v>1207</v>
      </c>
      <c r="B278" s="4">
        <f>COUNTIF('ALINDAO_Cleaned Data'!ZF:ZF,"OUI")</f>
        <v>0</v>
      </c>
      <c r="C278" s="4">
        <f>COUNTIF('ALINDAO_Cleaned Data'!ZF:ZF,"non")</f>
        <v>2</v>
      </c>
      <c r="D278" s="111">
        <f>SUM(B278:C278)</f>
        <v>2</v>
      </c>
    </row>
    <row r="279" spans="1:4" ht="37.5" x14ac:dyDescent="0.3">
      <c r="A279" s="53" t="s">
        <v>3290</v>
      </c>
      <c r="B279" s="39">
        <f>(B278/$E$9)</f>
        <v>0</v>
      </c>
      <c r="C279" s="39">
        <f>(C278/$E$9)</f>
        <v>1</v>
      </c>
      <c r="D279" s="100">
        <f>SUM(B279:C279)</f>
        <v>1</v>
      </c>
    </row>
    <row r="280" spans="1:4" x14ac:dyDescent="0.3">
      <c r="D280" s="124"/>
    </row>
    <row r="281" spans="1:4" ht="15.5" x14ac:dyDescent="0.35">
      <c r="A281" s="29" t="s">
        <v>1510</v>
      </c>
    </row>
    <row r="282" spans="1:4" x14ac:dyDescent="0.3">
      <c r="A282" s="3"/>
      <c r="B282" s="8" t="s">
        <v>1210</v>
      </c>
      <c r="C282" s="8" t="s">
        <v>1209</v>
      </c>
      <c r="D282" s="110" t="s">
        <v>1206</v>
      </c>
    </row>
    <row r="283" spans="1:4" x14ac:dyDescent="0.3">
      <c r="A283" s="3" t="s">
        <v>1207</v>
      </c>
      <c r="B283" s="4">
        <f>COUNTIF('ALINDAO_Cleaned Data'!ZK:ZK,"OUI")</f>
        <v>1</v>
      </c>
      <c r="C283" s="4">
        <f>COUNTIF('ALINDAO_Cleaned Data'!ZK:ZK,"non")</f>
        <v>1</v>
      </c>
      <c r="D283" s="111">
        <f>SUM(B283:C283)</f>
        <v>2</v>
      </c>
    </row>
    <row r="284" spans="1:4" ht="37.5" x14ac:dyDescent="0.3">
      <c r="A284" s="53" t="s">
        <v>3290</v>
      </c>
      <c r="B284" s="39">
        <f>(B283/$E$9)</f>
        <v>0.5</v>
      </c>
      <c r="C284" s="39">
        <f>(C283/$E$9)</f>
        <v>0.5</v>
      </c>
      <c r="D284" s="100">
        <f>SUM(B284:C284)</f>
        <v>1</v>
      </c>
    </row>
    <row r="285" spans="1:4" x14ac:dyDescent="0.3">
      <c r="D285" s="124"/>
    </row>
    <row r="286" spans="1:4" ht="15.5" x14ac:dyDescent="0.35">
      <c r="A286" s="29" t="s">
        <v>1512</v>
      </c>
    </row>
    <row r="287" spans="1:4" x14ac:dyDescent="0.3">
      <c r="A287" s="3"/>
      <c r="B287" s="8" t="s">
        <v>1210</v>
      </c>
      <c r="C287" s="8" t="s">
        <v>1209</v>
      </c>
      <c r="D287" s="110" t="s">
        <v>1206</v>
      </c>
    </row>
    <row r="288" spans="1:4" x14ac:dyDescent="0.3">
      <c r="A288" s="3" t="s">
        <v>1207</v>
      </c>
      <c r="B288" s="4">
        <f>COUNTIF('ALINDAO_Cleaned Data'!ZL:ZL,"OUI")</f>
        <v>2</v>
      </c>
      <c r="C288" s="4">
        <f>COUNTIF('ALINDAO_Cleaned Data'!ZL:ZL,"non")</f>
        <v>0</v>
      </c>
      <c r="D288" s="111">
        <f>SUM(B288:C288)</f>
        <v>2</v>
      </c>
    </row>
    <row r="289" spans="1:4" ht="37.5" x14ac:dyDescent="0.3">
      <c r="A289" s="53" t="s">
        <v>3290</v>
      </c>
      <c r="B289" s="39">
        <f>(B288/$E$9)</f>
        <v>1</v>
      </c>
      <c r="C289" s="39">
        <f>(C288/$E$9)</f>
        <v>0</v>
      </c>
      <c r="D289" s="100">
        <f>SUM(B289:C289)</f>
        <v>1</v>
      </c>
    </row>
    <row r="290" spans="1:4" x14ac:dyDescent="0.3">
      <c r="D290" s="124"/>
    </row>
    <row r="291" spans="1:4" ht="15.5" x14ac:dyDescent="0.35">
      <c r="A291" s="29" t="s">
        <v>1513</v>
      </c>
    </row>
    <row r="292" spans="1:4" x14ac:dyDescent="0.3">
      <c r="A292" s="3"/>
      <c r="B292" s="8" t="s">
        <v>1210</v>
      </c>
      <c r="C292" s="8" t="s">
        <v>1209</v>
      </c>
      <c r="D292" s="110" t="s">
        <v>1206</v>
      </c>
    </row>
    <row r="293" spans="1:4" x14ac:dyDescent="0.3">
      <c r="A293" s="3" t="s">
        <v>1207</v>
      </c>
      <c r="B293" s="4">
        <f>COUNTIF('ALINDAO_Cleaned Data'!ZN:ZN,"OUI")</f>
        <v>0</v>
      </c>
      <c r="C293" s="4">
        <f>COUNTIF('ALINDAO_Cleaned Data'!ZN:ZN,"non")</f>
        <v>2</v>
      </c>
      <c r="D293" s="111">
        <f>SUM(B293:C293)</f>
        <v>2</v>
      </c>
    </row>
    <row r="294" spans="1:4" ht="37.5" x14ac:dyDescent="0.3">
      <c r="A294" s="53" t="s">
        <v>3290</v>
      </c>
      <c r="B294" s="39">
        <f>(B293/$E$9)</f>
        <v>0</v>
      </c>
      <c r="C294" s="39">
        <f>(C293/$E$9)</f>
        <v>1</v>
      </c>
      <c r="D294" s="100">
        <f>SUM(B294:C294)</f>
        <v>1</v>
      </c>
    </row>
    <row r="295" spans="1:4" x14ac:dyDescent="0.3">
      <c r="D295" s="124"/>
    </row>
    <row r="296" spans="1:4" ht="15.5" x14ac:dyDescent="0.35">
      <c r="A296" s="29" t="s">
        <v>1514</v>
      </c>
    </row>
    <row r="297" spans="1:4" x14ac:dyDescent="0.3">
      <c r="A297" s="3"/>
      <c r="B297" s="8" t="s">
        <v>1210</v>
      </c>
      <c r="C297" s="8" t="s">
        <v>1209</v>
      </c>
      <c r="D297" s="110" t="s">
        <v>1206</v>
      </c>
    </row>
    <row r="298" spans="1:4" x14ac:dyDescent="0.3">
      <c r="A298" s="3" t="s">
        <v>1207</v>
      </c>
      <c r="B298" s="4">
        <f>COUNTIF('ALINDAO_Cleaned Data'!ZO:ZO,"OUI")</f>
        <v>2</v>
      </c>
      <c r="C298" s="4">
        <f>COUNTIF('ALINDAO_Cleaned Data'!ZO:ZO,"non")</f>
        <v>0</v>
      </c>
      <c r="D298" s="111">
        <f>SUM(B298:C298)</f>
        <v>2</v>
      </c>
    </row>
    <row r="299" spans="1:4" ht="37.5" x14ac:dyDescent="0.3">
      <c r="A299" s="53" t="s">
        <v>3290</v>
      </c>
      <c r="B299" s="39">
        <f>(B298/$E$9)</f>
        <v>1</v>
      </c>
      <c r="C299" s="39">
        <f>(C298/$E$9)</f>
        <v>0</v>
      </c>
      <c r="D299" s="100">
        <f>SUM(B299:C299)</f>
        <v>1</v>
      </c>
    </row>
    <row r="300" spans="1:4" x14ac:dyDescent="0.3">
      <c r="A300" s="97"/>
      <c r="B300" s="15"/>
      <c r="C300" s="15"/>
      <c r="D300" s="124"/>
    </row>
    <row r="301" spans="1:4" ht="15.5" x14ac:dyDescent="0.35">
      <c r="A301" s="29" t="s">
        <v>1515</v>
      </c>
    </row>
    <row r="302" spans="1:4" x14ac:dyDescent="0.3">
      <c r="A302" s="3"/>
      <c r="B302" s="8" t="s">
        <v>1210</v>
      </c>
      <c r="C302" s="8" t="s">
        <v>1209</v>
      </c>
      <c r="D302" s="110" t="s">
        <v>1206</v>
      </c>
    </row>
    <row r="303" spans="1:4" x14ac:dyDescent="0.3">
      <c r="A303" s="3" t="s">
        <v>1207</v>
      </c>
      <c r="B303" s="4">
        <f>COUNTIF('ALINDAO_Cleaned Data'!ZQ:ZQ,"OUI")</f>
        <v>0</v>
      </c>
      <c r="C303" s="4">
        <f>COUNTIF('ALINDAO_Cleaned Data'!ZQ:ZQ,"non")</f>
        <v>2</v>
      </c>
      <c r="D303" s="111">
        <f>SUM(B303:C303)</f>
        <v>2</v>
      </c>
    </row>
    <row r="304" spans="1:4" ht="37.5" x14ac:dyDescent="0.3">
      <c r="A304" s="53" t="s">
        <v>3290</v>
      </c>
      <c r="B304" s="39">
        <f>(B303/$E$9)</f>
        <v>0</v>
      </c>
      <c r="C304" s="39">
        <f>(C303/$E$9)</f>
        <v>1</v>
      </c>
      <c r="D304" s="100">
        <f>SUM(B304:C304)</f>
        <v>1</v>
      </c>
    </row>
  </sheetData>
  <mergeCells count="2">
    <mergeCell ref="A138:D138"/>
    <mergeCell ref="A4:B4"/>
  </mergeCells>
  <conditionalFormatting sqref="A94:M95 D99:M101 D105:M106 F102:M104 D110:M110 J107:M109 B92:N92 D116 D120:M120 L117:M119 F96:M98 F116:M116">
    <cfRule type="colorScale" priority="52">
      <colorScale>
        <cfvo type="min"/>
        <cfvo type="max"/>
        <color theme="6" tint="0.79998168889431442"/>
        <color theme="5" tint="0.39997558519241921"/>
      </colorScale>
    </cfRule>
  </conditionalFormatting>
  <conditionalFormatting sqref="B134:F134">
    <cfRule type="colorScale" priority="51">
      <colorScale>
        <cfvo type="min"/>
        <cfvo type="max"/>
        <color theme="6" tint="0.79998168889431442"/>
        <color theme="5" tint="0.39997558519241921"/>
      </colorScale>
    </cfRule>
  </conditionalFormatting>
  <conditionalFormatting sqref="D157:M157">
    <cfRule type="colorScale" priority="50">
      <colorScale>
        <cfvo type="min"/>
        <cfvo type="max"/>
        <color theme="6" tint="0.79998168889431442"/>
        <color theme="5" tint="0.39997558519241921"/>
      </colorScale>
    </cfRule>
  </conditionalFormatting>
  <conditionalFormatting sqref="B162:G162">
    <cfRule type="colorScale" priority="49">
      <colorScale>
        <cfvo type="min"/>
        <cfvo type="max"/>
        <color theme="6" tint="0.79998168889431442"/>
        <color theme="5" tint="0.39997558519241921"/>
      </colorScale>
    </cfRule>
  </conditionalFormatting>
  <conditionalFormatting sqref="B44:J44">
    <cfRule type="colorScale" priority="48">
      <colorScale>
        <cfvo type="min"/>
        <cfvo type="max"/>
        <color theme="6" tint="0.79998168889431442"/>
        <color theme="5" tint="0.39997558519241921"/>
      </colorScale>
    </cfRule>
  </conditionalFormatting>
  <conditionalFormatting sqref="D118:K118">
    <cfRule type="colorScale" priority="47">
      <colorScale>
        <cfvo type="min"/>
        <cfvo type="max"/>
        <color theme="6" tint="0.79998168889431442"/>
        <color theme="5" tint="0.39997558519241921"/>
      </colorScale>
    </cfRule>
  </conditionalFormatting>
  <conditionalFormatting sqref="B189:F189">
    <cfRule type="colorScale" priority="46">
      <colorScale>
        <cfvo type="min"/>
        <cfvo type="max"/>
        <color theme="6" tint="0.79998168889431442"/>
        <color theme="5" tint="0.39997558519241921"/>
      </colorScale>
    </cfRule>
  </conditionalFormatting>
  <conditionalFormatting sqref="A181:F182 B179:G179 E183:F185">
    <cfRule type="colorScale" priority="45">
      <colorScale>
        <cfvo type="min"/>
        <cfvo type="max"/>
        <color theme="6" tint="0.79998168889431442"/>
        <color theme="5" tint="0.39997558519241921"/>
      </colorScale>
    </cfRule>
  </conditionalFormatting>
  <conditionalFormatting sqref="A194:P194">
    <cfRule type="colorScale" priority="44">
      <colorScale>
        <cfvo type="min"/>
        <cfvo type="max"/>
        <color theme="6" tint="0.79998168889431442"/>
        <color theme="5" tint="0.39997558519241921"/>
      </colorScale>
    </cfRule>
  </conditionalFormatting>
  <conditionalFormatting sqref="A198:L198">
    <cfRule type="colorScale" priority="43">
      <colorScale>
        <cfvo type="min"/>
        <cfvo type="max"/>
        <color theme="6" tint="0.79998168889431442"/>
        <color theme="5" tint="0.39997558519241921"/>
      </colorScale>
    </cfRule>
  </conditionalFormatting>
  <conditionalFormatting sqref="A228:M228">
    <cfRule type="colorScale" priority="42">
      <colorScale>
        <cfvo type="min"/>
        <cfvo type="max"/>
        <color theme="6" tint="0.79998168889431442"/>
        <color theme="5" tint="0.39997558519241921"/>
      </colorScale>
    </cfRule>
  </conditionalFormatting>
  <conditionalFormatting sqref="C238:J238">
    <cfRule type="colorScale" priority="41">
      <colorScale>
        <cfvo type="min"/>
        <cfvo type="max"/>
        <color theme="6" tint="0.79998168889431442"/>
        <color theme="5" tint="0.39997558519241921"/>
      </colorScale>
    </cfRule>
  </conditionalFormatting>
  <conditionalFormatting sqref="C258:J258">
    <cfRule type="colorScale" priority="40">
      <colorScale>
        <cfvo type="min"/>
        <cfvo type="max"/>
        <color theme="6" tint="0.79998168889431442"/>
        <color theme="5" tint="0.39997558519241921"/>
      </colorScale>
    </cfRule>
  </conditionalFormatting>
  <conditionalFormatting sqref="D268:H268">
    <cfRule type="colorScale" priority="39">
      <colorScale>
        <cfvo type="min"/>
        <cfvo type="max"/>
        <color theme="6" tint="0.79998168889431442"/>
        <color theme="5" tint="0.39997558519241921"/>
      </colorScale>
    </cfRule>
  </conditionalFormatting>
  <conditionalFormatting sqref="B9:D9">
    <cfRule type="colorScale" priority="38">
      <colorScale>
        <cfvo type="min"/>
        <cfvo type="max"/>
        <color theme="6" tint="0.79998168889431442"/>
        <color theme="5" tint="0.39997558519241921"/>
      </colorScale>
    </cfRule>
  </conditionalFormatting>
  <conditionalFormatting sqref="C14:M14">
    <cfRule type="colorScale" priority="37">
      <colorScale>
        <cfvo type="min"/>
        <cfvo type="max"/>
        <color theme="6" tint="0.79998168889431442"/>
        <color theme="5" tint="0.39997558519241921"/>
      </colorScale>
    </cfRule>
  </conditionalFormatting>
  <conditionalFormatting sqref="C19:G19">
    <cfRule type="colorScale" priority="35">
      <colorScale>
        <cfvo type="min"/>
        <cfvo type="max"/>
        <color theme="6" tint="0.79998168889431442"/>
        <color theme="5" tint="0.39997558519241921"/>
      </colorScale>
    </cfRule>
  </conditionalFormatting>
  <conditionalFormatting sqref="C29:G29">
    <cfRule type="colorScale" priority="34">
      <colorScale>
        <cfvo type="min"/>
        <cfvo type="max"/>
        <color theme="6" tint="0.79998168889431442"/>
        <color theme="5" tint="0.39997558519241921"/>
      </colorScale>
    </cfRule>
  </conditionalFormatting>
  <conditionalFormatting sqref="B49:D49">
    <cfRule type="colorScale" priority="33">
      <colorScale>
        <cfvo type="min"/>
        <cfvo type="max"/>
        <color theme="6" tint="0.79998168889431442"/>
        <color theme="5" tint="0.39997558519241921"/>
      </colorScale>
    </cfRule>
  </conditionalFormatting>
  <conditionalFormatting sqref="C57:D57">
    <cfRule type="colorScale" priority="32">
      <colorScale>
        <cfvo type="min"/>
        <cfvo type="max"/>
        <color theme="6" tint="0.79998168889431442"/>
        <color theme="5" tint="0.39997558519241921"/>
      </colorScale>
    </cfRule>
  </conditionalFormatting>
  <conditionalFormatting sqref="C66:D66">
    <cfRule type="colorScale" priority="31">
      <colorScale>
        <cfvo type="min"/>
        <cfvo type="max"/>
        <color theme="6" tint="0.79998168889431442"/>
        <color theme="5" tint="0.39997558519241921"/>
      </colorScale>
    </cfRule>
  </conditionalFormatting>
  <conditionalFormatting sqref="B71:C71">
    <cfRule type="colorScale" priority="30">
      <colorScale>
        <cfvo type="min"/>
        <cfvo type="max"/>
        <color theme="6" tint="0.79998168889431442"/>
        <color theme="5" tint="0.39997558519241921"/>
      </colorScale>
    </cfRule>
  </conditionalFormatting>
  <conditionalFormatting sqref="B81:C81">
    <cfRule type="colorScale" priority="29">
      <colorScale>
        <cfvo type="min"/>
        <cfvo type="max"/>
        <color theme="6" tint="0.79998168889431442"/>
        <color theme="5" tint="0.39997558519241921"/>
      </colorScale>
    </cfRule>
  </conditionalFormatting>
  <conditionalFormatting sqref="B34:C34">
    <cfRule type="colorScale" priority="28">
      <colorScale>
        <cfvo type="min"/>
        <cfvo type="max"/>
        <color theme="6" tint="0.79998168889431442"/>
        <color theme="5" tint="0.39997558519241921"/>
      </colorScale>
    </cfRule>
  </conditionalFormatting>
  <conditionalFormatting sqref="C39:E39">
    <cfRule type="colorScale" priority="27">
      <colorScale>
        <cfvo type="min"/>
        <cfvo type="max"/>
        <color theme="6" tint="0.79998168889431442"/>
        <color theme="5" tint="0.39997558519241921"/>
      </colorScale>
    </cfRule>
  </conditionalFormatting>
  <conditionalFormatting sqref="B129:C129">
    <cfRule type="colorScale" priority="26">
      <colorScale>
        <cfvo type="min"/>
        <cfvo type="max"/>
        <color theme="6" tint="0.79998168889431442"/>
        <color theme="5" tint="0.39997558519241921"/>
      </colorScale>
    </cfRule>
  </conditionalFormatting>
  <conditionalFormatting sqref="B142:C142">
    <cfRule type="colorScale" priority="25">
      <colorScale>
        <cfvo type="min"/>
        <cfvo type="max"/>
        <color theme="6" tint="0.79998168889431442"/>
        <color theme="5" tint="0.39997558519241921"/>
      </colorScale>
    </cfRule>
  </conditionalFormatting>
  <conditionalFormatting sqref="D154:J154">
    <cfRule type="colorScale" priority="24">
      <colorScale>
        <cfvo type="min"/>
        <cfvo type="max"/>
        <color theme="6" tint="0.79998168889431442"/>
        <color theme="5" tint="0.39997558519241921"/>
      </colorScale>
    </cfRule>
  </conditionalFormatting>
  <conditionalFormatting sqref="D152:J152">
    <cfRule type="colorScale" priority="23">
      <colorScale>
        <cfvo type="min"/>
        <cfvo type="max"/>
        <color theme="6" tint="0.79998168889431442"/>
        <color theme="5" tint="0.39997558519241921"/>
      </colorScale>
    </cfRule>
  </conditionalFormatting>
  <conditionalFormatting sqref="C103:D103">
    <cfRule type="colorScale" priority="22">
      <colorScale>
        <cfvo type="min"/>
        <cfvo type="max"/>
        <color theme="6" tint="0.79998168889431442"/>
        <color theme="5" tint="0.39997558519241921"/>
      </colorScale>
    </cfRule>
  </conditionalFormatting>
  <conditionalFormatting sqref="K115:M115 D111 L112:M114 F111:M111">
    <cfRule type="colorScale" priority="21">
      <colorScale>
        <cfvo type="min"/>
        <cfvo type="max"/>
        <color theme="6" tint="0.79998168889431442"/>
        <color theme="5" tint="0.39997558519241921"/>
      </colorScale>
    </cfRule>
  </conditionalFormatting>
  <conditionalFormatting sqref="D115:J115 D113:K113">
    <cfRule type="colorScale" priority="20">
      <colorScale>
        <cfvo type="min"/>
        <cfvo type="max"/>
        <color theme="6" tint="0.79998168889431442"/>
        <color theme="5" tint="0.39997558519241921"/>
      </colorScale>
    </cfRule>
  </conditionalFormatting>
  <conditionalFormatting sqref="B184:C184">
    <cfRule type="colorScale" priority="19">
      <colorScale>
        <cfvo type="min"/>
        <cfvo type="max"/>
        <color theme="6" tint="0.79998168889431442"/>
        <color theme="5" tint="0.39997558519241921"/>
      </colorScale>
    </cfRule>
  </conditionalFormatting>
  <conditionalFormatting sqref="B202:C202">
    <cfRule type="colorScale" priority="18">
      <colorScale>
        <cfvo type="min"/>
        <cfvo type="max"/>
        <color theme="6" tint="0.79998168889431442"/>
        <color theme="5" tint="0.39997558519241921"/>
      </colorScale>
    </cfRule>
  </conditionalFormatting>
  <conditionalFormatting sqref="C213:O213">
    <cfRule type="colorScale" priority="17">
      <colorScale>
        <cfvo type="min"/>
        <cfvo type="max"/>
        <color theme="6" tint="0.79998168889431442"/>
        <color theme="5" tint="0.39997558519241921"/>
      </colorScale>
    </cfRule>
  </conditionalFormatting>
  <conditionalFormatting sqref="D223:H223">
    <cfRule type="colorScale" priority="16">
      <colorScale>
        <cfvo type="min"/>
        <cfvo type="max"/>
        <color theme="6" tint="0.79998168889431442"/>
        <color theme="5" tint="0.39997558519241921"/>
      </colorScale>
    </cfRule>
  </conditionalFormatting>
  <conditionalFormatting sqref="C207:I207">
    <cfRule type="colorScale" priority="15">
      <colorScale>
        <cfvo type="min"/>
        <cfvo type="max"/>
        <color theme="6" tint="0.79998168889431442"/>
        <color theme="5" tint="0.39997558519241921"/>
      </colorScale>
    </cfRule>
  </conditionalFormatting>
  <conditionalFormatting sqref="C218:D218">
    <cfRule type="colorScale" priority="14">
      <colorScale>
        <cfvo type="min"/>
        <cfvo type="max"/>
        <color theme="6" tint="0.79998168889431442"/>
        <color theme="5" tint="0.39997558519241921"/>
      </colorScale>
    </cfRule>
  </conditionalFormatting>
  <conditionalFormatting sqref="B233:C233">
    <cfRule type="colorScale" priority="13">
      <colorScale>
        <cfvo type="min"/>
        <cfvo type="max"/>
        <color theme="6" tint="0.79998168889431442"/>
        <color theme="5" tint="0.39997558519241921"/>
      </colorScale>
    </cfRule>
  </conditionalFormatting>
  <conditionalFormatting sqref="B243:C243">
    <cfRule type="colorScale" priority="12">
      <colorScale>
        <cfvo type="min"/>
        <cfvo type="max"/>
        <color theme="6" tint="0.79998168889431442"/>
        <color theme="5" tint="0.39997558519241921"/>
      </colorScale>
    </cfRule>
  </conditionalFormatting>
  <conditionalFormatting sqref="B248:C248">
    <cfRule type="colorScale" priority="11">
      <colorScale>
        <cfvo type="min"/>
        <cfvo type="max"/>
        <color theme="6" tint="0.79998168889431442"/>
        <color theme="5" tint="0.39997558519241921"/>
      </colorScale>
    </cfRule>
  </conditionalFormatting>
  <conditionalFormatting sqref="B253:C253">
    <cfRule type="colorScale" priority="10">
      <colorScale>
        <cfvo type="min"/>
        <cfvo type="max"/>
        <color theme="6" tint="0.79998168889431442"/>
        <color theme="5" tint="0.39997558519241921"/>
      </colorScale>
    </cfRule>
  </conditionalFormatting>
  <conditionalFormatting sqref="C263:D263">
    <cfRule type="colorScale" priority="9">
      <colorScale>
        <cfvo type="min"/>
        <cfvo type="max"/>
        <color theme="6" tint="0.79998168889431442"/>
        <color theme="5" tint="0.39997558519241921"/>
      </colorScale>
    </cfRule>
  </conditionalFormatting>
  <conditionalFormatting sqref="B123:G123">
    <cfRule type="colorScale" priority="8">
      <colorScale>
        <cfvo type="min"/>
        <cfvo type="max"/>
        <color theme="6" tint="0.79998168889431442"/>
        <color theme="5" tint="0.39997558519241921"/>
      </colorScale>
    </cfRule>
  </conditionalFormatting>
  <conditionalFormatting sqref="C86:F86">
    <cfRule type="colorScale" priority="7">
      <colorScale>
        <cfvo type="min"/>
        <cfvo type="max"/>
        <color theme="6" tint="0.79998168889431442"/>
        <color theme="5" tint="0.39997558519241921"/>
      </colorScale>
    </cfRule>
  </conditionalFormatting>
  <conditionalFormatting sqref="B97:D97">
    <cfRule type="colorScale" priority="6">
      <colorScale>
        <cfvo type="min"/>
        <cfvo type="max"/>
        <color theme="6" tint="0.79998168889431442"/>
        <color theme="5" tint="0.39997558519241921"/>
      </colorScale>
    </cfRule>
  </conditionalFormatting>
  <conditionalFormatting sqref="C147:F147">
    <cfRule type="colorScale" priority="5">
      <colorScale>
        <cfvo type="min"/>
        <cfvo type="max"/>
        <color theme="6" tint="0.79998168889431442"/>
        <color theme="5" tint="0.39997558519241921"/>
      </colorScale>
    </cfRule>
  </conditionalFormatting>
  <conditionalFormatting sqref="C24:J24">
    <cfRule type="colorScale" priority="4">
      <colorScale>
        <cfvo type="min"/>
        <cfvo type="max"/>
        <color theme="6" tint="0.79998168889431442"/>
        <color theme="5" tint="0.39997558519241921"/>
      </colorScale>
    </cfRule>
  </conditionalFormatting>
  <conditionalFormatting sqref="K24">
    <cfRule type="colorScale" priority="3">
      <colorScale>
        <cfvo type="min"/>
        <cfvo type="max"/>
        <color theme="6" tint="0.79998168889431442"/>
        <color theme="5" tint="0.39997558519241921"/>
      </colorScale>
    </cfRule>
  </conditionalFormatting>
  <conditionalFormatting sqref="L24">
    <cfRule type="colorScale" priority="2">
      <colorScale>
        <cfvo type="min"/>
        <cfvo type="max"/>
        <color theme="6" tint="0.79998168889431442"/>
        <color theme="5" tint="0.39997558519241921"/>
      </colorScale>
    </cfRule>
  </conditionalFormatting>
  <conditionalFormatting sqref="C76:G76">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Z208"/>
  <sheetViews>
    <sheetView zoomScale="90" zoomScaleNormal="90" workbookViewId="0">
      <selection activeCell="H53" sqref="H53"/>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COUNTIFS('ALINDAO_Cleaned Data'!N:N,"education",'ALINDAO_Cleaned Data'!K:K,"ALINDAO")</f>
        <v>8</v>
      </c>
    </row>
    <row r="5" spans="1:7" ht="15.5" x14ac:dyDescent="0.35">
      <c r="A5" s="29" t="s">
        <v>1933</v>
      </c>
    </row>
    <row r="6" spans="1:7" ht="42" x14ac:dyDescent="0.3">
      <c r="A6" s="3"/>
      <c r="B6" s="8" t="s">
        <v>1275</v>
      </c>
      <c r="C6" s="8" t="s">
        <v>1276</v>
      </c>
      <c r="D6" s="8" t="s">
        <v>1277</v>
      </c>
      <c r="E6" s="8" t="s">
        <v>3338</v>
      </c>
      <c r="F6" s="51" t="s">
        <v>3274</v>
      </c>
    </row>
    <row r="7" spans="1:7" x14ac:dyDescent="0.3">
      <c r="A7" s="3" t="s">
        <v>1207</v>
      </c>
      <c r="B7" s="4">
        <f>COUNTIF('ALINDAO_Cleaned Data'!YK:ZT,"public")</f>
        <v>6</v>
      </c>
      <c r="C7" s="4">
        <f>COUNTIF('ALINDAO_Cleaned Data'!ZT:ZT,"prive")</f>
        <v>2</v>
      </c>
      <c r="D7" s="4">
        <f>COUNTIF('ALINDAO_Cleaned Data'!ZT:ZT,"religieux")</f>
        <v>0</v>
      </c>
      <c r="E7" s="4">
        <f>COUNTIF('ALINDAO_Cleaned Data'!ZT:ZT,"communautaire")</f>
        <v>0</v>
      </c>
      <c r="F7" s="52">
        <f>SUM(B7:E7)</f>
        <v>8</v>
      </c>
    </row>
    <row r="8" spans="1:7" ht="26" x14ac:dyDescent="0.3">
      <c r="A8" s="53" t="s">
        <v>3273</v>
      </c>
      <c r="B8" s="7">
        <f>(B7/$B$3)</f>
        <v>0.75</v>
      </c>
      <c r="C8" s="7">
        <f t="shared" ref="C8:D8" si="0">(C7/$B$3)</f>
        <v>0.25</v>
      </c>
      <c r="D8" s="7">
        <f t="shared" si="0"/>
        <v>0</v>
      </c>
      <c r="E8" s="7">
        <f t="shared" ref="E8" si="1">(E7/$B$3)</f>
        <v>0</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COUNTIF('ALINDAO_Cleaned Data'!ABE:ABE,"f1")</f>
        <v>8</v>
      </c>
      <c r="C12" s="4">
        <f>COUNTIF('ALINDAO_Cleaned Data'!ABE:ABE,"f2")</f>
        <v>0</v>
      </c>
      <c r="D12" s="4">
        <f>COUNTIF('ALINDAO_Cleaned Data'!ABE:ABE,"etp")</f>
        <v>0</v>
      </c>
      <c r="E12" s="4">
        <f>COUNTIF('ALINDAO_Cleaned Data'!ABE:ABE,"coranique")</f>
        <v>0</v>
      </c>
      <c r="F12" s="4">
        <f>COUNTIF('ALINDAO_Cleaned Data'!ABH:ABH,"autre")</f>
        <v>0</v>
      </c>
      <c r="G12" s="111">
        <f>SUM(B12:F12)</f>
        <v>8</v>
      </c>
    </row>
    <row r="13" spans="1:7" ht="26" x14ac:dyDescent="0.3">
      <c r="A13" s="53" t="s">
        <v>3273</v>
      </c>
      <c r="B13" s="7">
        <f>(B12/$B$3)</f>
        <v>1</v>
      </c>
      <c r="C13" s="7">
        <f t="shared" ref="C13:F13" si="2">(C12/$B$3)</f>
        <v>0</v>
      </c>
      <c r="D13" s="7">
        <f t="shared" si="2"/>
        <v>0</v>
      </c>
      <c r="E13" s="7">
        <f t="shared" si="2"/>
        <v>0</v>
      </c>
      <c r="F13" s="7">
        <f t="shared" si="2"/>
        <v>0</v>
      </c>
      <c r="G13" s="116">
        <f>SUM(B13:F13)</f>
        <v>1</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COUNTIF('ALINDAO_Cleaned Data'!ZV:ZV,"durable")</f>
        <v>5</v>
      </c>
      <c r="C18" s="4">
        <f>COUNTIF('ALINDAO_Cleaned Data'!ZV:ZV,"hangar")</f>
        <v>3</v>
      </c>
      <c r="D18" s="4">
        <f>COUNTIF('ALINDAO_Cleaned Data'!ZV:ZV,"hangar_traditionnel")</f>
        <v>0</v>
      </c>
      <c r="E18" s="111">
        <f>SUM(B18:D18)</f>
        <v>8</v>
      </c>
    </row>
    <row r="19" spans="1:26" ht="26" x14ac:dyDescent="0.3">
      <c r="A19" s="53" t="s">
        <v>3273</v>
      </c>
      <c r="B19" s="7">
        <f>B18/$B$3</f>
        <v>0.625</v>
      </c>
      <c r="C19" s="7">
        <f t="shared" ref="C19:D19" si="3">C18/$B$3</f>
        <v>0.375</v>
      </c>
      <c r="D19" s="7">
        <f t="shared" si="3"/>
        <v>0</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COUNTIF('ALINDAO_Cleaned Data'!ZX:ZX,"Oui")</f>
        <v>8</v>
      </c>
      <c r="C23" s="4">
        <f>COUNTIF('ALINDAO_Cleaned Data'!ZX:ZX,"non")</f>
        <v>0</v>
      </c>
      <c r="D23" s="4">
        <f>COUNTIF('ALINDAO_Cleaned Data'!ZX:ZX,"partiel")</f>
        <v>0</v>
      </c>
      <c r="E23" s="72">
        <f>B23+D23</f>
        <v>8</v>
      </c>
    </row>
    <row r="24" spans="1:26" ht="26" x14ac:dyDescent="0.3">
      <c r="A24" s="53" t="s">
        <v>3273</v>
      </c>
      <c r="B24" s="7">
        <f>B23/$B$3</f>
        <v>1</v>
      </c>
      <c r="C24" s="7">
        <f t="shared" ref="C24:D24" si="4">C23/$B$3</f>
        <v>0</v>
      </c>
      <c r="D24" s="7">
        <f t="shared" si="4"/>
        <v>0</v>
      </c>
      <c r="E24" s="119">
        <f>B24+D24</f>
        <v>1</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COUNTIF('ALINDAO_Cleaned Data'!AAK:AAK,"1")</f>
        <v>0</v>
      </c>
      <c r="D28" s="3">
        <f>COUNTIF('ALINDAO_Cleaned Data'!AAL:AAL,"1")</f>
        <v>0</v>
      </c>
      <c r="E28" s="3">
        <f>COUNTIF('ALINDAO_Cleaned Data'!AAM:AAM,"1")</f>
        <v>0</v>
      </c>
      <c r="F28" s="3">
        <f>COUNTIF('ALINDAO_Cleaned Data'!AAN:AAN,"1")</f>
        <v>0</v>
      </c>
      <c r="G28" s="3">
        <f>COUNTIF('ALINDAO_Cleaned Data'!AAO:AAO,"1")</f>
        <v>0</v>
      </c>
      <c r="H28" s="3">
        <f>COUNTIF('ALINDAO_Cleaned Data'!AAP:AAP,"1")</f>
        <v>0</v>
      </c>
      <c r="I28" s="3">
        <f>COUNTIF('ALINDAO_Cleaned Data'!AAQ:AAQ,"1")</f>
        <v>0</v>
      </c>
      <c r="J28" s="3">
        <f>COUNTIF('ALINDAO_Cleaned Data'!AAR:AAR,"1")</f>
        <v>0</v>
      </c>
      <c r="K28" s="3">
        <f>COUNTIF('ALINDAO_Cleaned Data'!AAS:AAS,"1")</f>
        <v>0</v>
      </c>
    </row>
    <row r="29" spans="1:26" ht="37.5" x14ac:dyDescent="0.3">
      <c r="B29" s="53" t="s">
        <v>3275</v>
      </c>
      <c r="C29" s="7" t="e">
        <f>C28/$C$23</f>
        <v>#DIV/0!</v>
      </c>
      <c r="D29" s="7" t="e">
        <f t="shared" ref="D29:K29" si="5">D28/$C$23</f>
        <v>#DIV/0!</v>
      </c>
      <c r="E29" s="7" t="e">
        <f t="shared" si="5"/>
        <v>#DIV/0!</v>
      </c>
      <c r="F29" s="7" t="e">
        <f t="shared" si="5"/>
        <v>#DIV/0!</v>
      </c>
      <c r="G29" s="7" t="e">
        <f t="shared" si="5"/>
        <v>#DIV/0!</v>
      </c>
      <c r="H29" s="7" t="e">
        <f t="shared" si="5"/>
        <v>#DIV/0!</v>
      </c>
      <c r="I29" s="7" t="e">
        <f t="shared" si="5"/>
        <v>#DIV/0!</v>
      </c>
      <c r="J29" s="7" t="e">
        <f t="shared" si="5"/>
        <v>#DIV/0!</v>
      </c>
      <c r="K29" s="7" t="e">
        <f t="shared" si="5"/>
        <v>#DIV/0!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COUNTIF('ALINDAO_Cleaned Data'!AAU:AAU,"moins_six_mois")</f>
        <v>0</v>
      </c>
      <c r="D33" s="3">
        <f>COUNTIF('ALINDAO_Cleaned Data'!AAU:AAU,"six_mois_un_an ")</f>
        <v>0</v>
      </c>
      <c r="E33" s="3">
        <f>COUNTIF('ALINDAO_Cleaned Data'!AAU:AAU,"un_an_trois_ans")</f>
        <v>0</v>
      </c>
      <c r="F33" s="3">
        <f>COUNTIF('ALINDAO_Cleaned Data'!AAU:AAU,"plus_trois_ans")</f>
        <v>0</v>
      </c>
      <c r="G33" s="3">
        <f>COUNTIF('ALINDAO_Cleaned Data'!AAU:AAU,"nsp")</f>
        <v>0</v>
      </c>
      <c r="H33" s="111">
        <f>SUM(C33:G33)</f>
        <v>0</v>
      </c>
      <c r="I33" s="10"/>
      <c r="J33" s="10"/>
      <c r="K33" s="74" t="s">
        <v>2310</v>
      </c>
      <c r="L33" s="10"/>
      <c r="M33" s="10"/>
      <c r="N33" s="10"/>
      <c r="O33" s="10"/>
      <c r="P33" s="10"/>
      <c r="Q33" s="10"/>
      <c r="R33" s="10"/>
      <c r="S33" s="10"/>
      <c r="T33" s="10"/>
      <c r="U33" s="10"/>
      <c r="V33" s="10"/>
      <c r="W33" s="10"/>
      <c r="X33" s="10"/>
      <c r="Y33" s="10"/>
      <c r="Z33" s="10"/>
    </row>
    <row r="34" spans="1:26" ht="37.5" x14ac:dyDescent="0.3">
      <c r="B34" s="53" t="s">
        <v>3275</v>
      </c>
      <c r="C34" s="7" t="e">
        <f>C33/$C$23</f>
        <v>#DIV/0!</v>
      </c>
      <c r="D34" s="7" t="e">
        <f t="shared" ref="D34:G34" si="6">D33/$C$23</f>
        <v>#DIV/0!</v>
      </c>
      <c r="E34" s="7" t="e">
        <f t="shared" si="6"/>
        <v>#DIV/0!</v>
      </c>
      <c r="F34" s="7" t="e">
        <f t="shared" si="6"/>
        <v>#DIV/0!</v>
      </c>
      <c r="G34" s="7" t="e">
        <f t="shared" si="6"/>
        <v>#DIV/0!</v>
      </c>
      <c r="H34" s="116" t="e">
        <f>SUM(C34:G34)</f>
        <v>#DIV/0!</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COUNTIF('ALINDAO_Cleaned Data'!ZZ:ZZ,"1")</f>
        <v>0</v>
      </c>
      <c r="D38" s="3">
        <f>COUNTIF('ALINDAO_Cleaned Data'!AAA:AAA,"1")</f>
        <v>0</v>
      </c>
      <c r="E38" s="3">
        <f>COUNTIF('ALINDAO_Cleaned Data'!AAB:AAB,"1")</f>
        <v>0</v>
      </c>
      <c r="F38" s="3">
        <f>COUNTIF('ALINDAO_Cleaned Data'!AAC:AAC,"1")</f>
        <v>0</v>
      </c>
      <c r="G38" s="3">
        <f>COUNTIF('ALINDAO_Cleaned Data'!AAD:AAD,"1")</f>
        <v>0</v>
      </c>
      <c r="H38" s="3">
        <f>COUNTIF('ALINDAO_Cleaned Data'!AAE:AAE,"1")</f>
        <v>0</v>
      </c>
      <c r="I38" s="3">
        <f>COUNTIF('ALINDAO_Cleaned Data'!AAF:AAF,"1")</f>
        <v>0</v>
      </c>
      <c r="J38" s="3">
        <f>COUNTIF('ALINDAO_Cleaned Data'!AAG:AAG,"1")</f>
        <v>0</v>
      </c>
    </row>
    <row r="39" spans="1:26" ht="49" x14ac:dyDescent="0.3">
      <c r="B39" s="53" t="s">
        <v>3276</v>
      </c>
      <c r="C39" s="7" t="e">
        <f>C38/$D$23</f>
        <v>#DIV/0!</v>
      </c>
      <c r="D39" s="7" t="e">
        <f t="shared" ref="D39:J39" si="7">D38/$D$23</f>
        <v>#DIV/0!</v>
      </c>
      <c r="E39" s="7" t="e">
        <f t="shared" si="7"/>
        <v>#DIV/0!</v>
      </c>
      <c r="F39" s="7" t="e">
        <f t="shared" si="7"/>
        <v>#DIV/0!</v>
      </c>
      <c r="G39" s="7" t="e">
        <f t="shared" si="7"/>
        <v>#DIV/0!</v>
      </c>
      <c r="H39" s="7" t="e">
        <f t="shared" si="7"/>
        <v>#DIV/0!</v>
      </c>
      <c r="I39" s="7" t="e">
        <f t="shared" si="7"/>
        <v>#DIV/0!</v>
      </c>
      <c r="J39" s="7" t="e">
        <f t="shared" si="7"/>
        <v>#DIV/0!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COUNTIF('ALINDAO_Cleaned Data'!AAI:AAI,"moins_six_mois")</f>
        <v>0</v>
      </c>
      <c r="D43" s="3">
        <f>COUNTIF('ALINDAO_Cleaned Data'!AAI:AAI,"six_mois_un_an ")</f>
        <v>0</v>
      </c>
      <c r="E43" s="3">
        <f>COUNTIF('ALINDAO_Cleaned Data'!AAI:AAI,"un_an_trois_ans")</f>
        <v>0</v>
      </c>
      <c r="F43" s="3">
        <f>COUNTIF('ALINDAO_Cleaned Data'!AAI:AAI,"plus_trois_ans")</f>
        <v>0</v>
      </c>
      <c r="G43" s="3">
        <f>COUNTIF('ALINDAO_Cleaned Data'!AAI:AAI,"nsp")</f>
        <v>0</v>
      </c>
      <c r="H43" s="111">
        <f>SUM(C43:G43)</f>
        <v>0</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t="e">
        <f>C43/$D$23</f>
        <v>#DIV/0!</v>
      </c>
      <c r="D44" s="7" t="e">
        <f t="shared" ref="D44:G44" si="8">D43/$D$23</f>
        <v>#DIV/0!</v>
      </c>
      <c r="E44" s="7" t="e">
        <f t="shared" si="8"/>
        <v>#DIV/0!</v>
      </c>
      <c r="F44" s="7" t="e">
        <f t="shared" si="8"/>
        <v>#DIV/0!</v>
      </c>
      <c r="G44" s="7" t="e">
        <f t="shared" si="8"/>
        <v>#DIV/0!</v>
      </c>
      <c r="H44" s="116" t="e">
        <f>SUM(C44:G44)</f>
        <v>#DIV/0!</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COUNTIF('ALINDAO_Cleaned Data'!AAW:AAW,"1")</f>
        <v>0</v>
      </c>
      <c r="C48" s="4">
        <f>COUNTIF('ALINDAO_Cleaned Data'!AAX:AAX,"1")</f>
        <v>0</v>
      </c>
      <c r="D48" s="4">
        <f>COUNTIF('ALINDAO_Cleaned Data'!AAY:AAY,"1")</f>
        <v>0</v>
      </c>
      <c r="E48" s="4">
        <f>COUNTIF('ALINDAO_Cleaned Data'!AAZ:AAZ,"1")</f>
        <v>0</v>
      </c>
      <c r="F48" s="4">
        <f>COUNTIF('ALINDAO_Cleaned Data'!ABA:ABA,"1")</f>
        <v>0</v>
      </c>
      <c r="G48" s="4">
        <f>COUNTIF('ALINDAO_Cleaned Data'!ABB:ABB,"1")</f>
        <v>0</v>
      </c>
      <c r="H48" s="4">
        <f>COUNTIF('ALINDAO_Cleaned Data'!ABC:ABC,"1")</f>
        <v>0</v>
      </c>
      <c r="J48" s="87" t="s">
        <v>2309</v>
      </c>
    </row>
    <row r="49" spans="1:12" ht="40" customHeight="1" x14ac:dyDescent="0.3">
      <c r="A49" s="54" t="s">
        <v>1956</v>
      </c>
      <c r="B49" s="7" t="e">
        <f>B48/SUM(C28,C38)</f>
        <v>#DIV/0!</v>
      </c>
      <c r="C49" s="7" t="e">
        <f>C48/SUM(C28,C38)</f>
        <v>#DIV/0!</v>
      </c>
      <c r="D49" s="7" t="e">
        <f>D48/SUM(C28,C38)</f>
        <v>#DIV/0!</v>
      </c>
      <c r="E49" s="7" t="e">
        <f>E48/SUM(C28,C38)</f>
        <v>#DIV/0!</v>
      </c>
      <c r="F49" s="7" t="e">
        <f>F48/SUM(C28,C38)</f>
        <v>#DIV/0!</v>
      </c>
      <c r="G49" s="7" t="e">
        <f>G48/SUM(C28,C38)</f>
        <v>#DIV/0!</v>
      </c>
      <c r="H49" s="7" t="e">
        <f>H48/SUM(C28,C38)</f>
        <v>#DIV/0!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COUNTIF('ALINDAO_Cleaned Data'!ABM:ABM,"1")</f>
        <v>0</v>
      </c>
      <c r="C53" s="4">
        <f>COUNTIF('ALINDAO_Cleaned Data'!ABN:ABN,"1")</f>
        <v>0</v>
      </c>
      <c r="D53" s="4">
        <f>COUNTIF('ALINDAO_Cleaned Data'!ABO:ABO,"1")</f>
        <v>0</v>
      </c>
      <c r="E53" s="4">
        <f>COUNTIF('ALINDAO_Cleaned Data'!ABP:ABP,"1")</f>
        <v>0</v>
      </c>
      <c r="F53" s="4">
        <f>COUNTIF('ALINDAO_Cleaned Data'!ABQ:ABQ,"1")</f>
        <v>0</v>
      </c>
      <c r="G53" s="4">
        <f>COUNTIF('ALINDAO_Cleaned Data'!ABR:ABR,"1")</f>
        <v>6</v>
      </c>
      <c r="H53" s="4">
        <f>COUNTIF('ALINDAO_Cleaned Data'!ABX:ABX,"1")</f>
        <v>2</v>
      </c>
      <c r="I53" s="4">
        <f>COUNTIF('ALINDAO_Cleaned Data'!ABT:ABT,"1")</f>
        <v>0</v>
      </c>
      <c r="J53" s="4">
        <f>COUNTIF('ALINDAO_Cleaned Data'!ABU:ABU,"1")</f>
        <v>3</v>
      </c>
      <c r="K53" s="4">
        <f>COUNTIF('ALINDAO_Cleaned Data'!ABV:ABV,"1")</f>
        <v>0</v>
      </c>
      <c r="L53" s="4">
        <f>COUNTIF('ALINDAO_Cleaned Data'!ABW:ABW,"1")</f>
        <v>0</v>
      </c>
    </row>
    <row r="54" spans="1:12" ht="26" x14ac:dyDescent="0.3">
      <c r="A54" s="53" t="s">
        <v>3273</v>
      </c>
      <c r="B54" s="7">
        <f>B53/$B$3</f>
        <v>0</v>
      </c>
      <c r="C54" s="7">
        <f t="shared" ref="C54:L54" si="9">C53/$B$3</f>
        <v>0</v>
      </c>
      <c r="D54" s="7">
        <f t="shared" si="9"/>
        <v>0</v>
      </c>
      <c r="E54" s="7">
        <f t="shared" si="9"/>
        <v>0</v>
      </c>
      <c r="F54" s="7">
        <f t="shared" si="9"/>
        <v>0</v>
      </c>
      <c r="G54" s="7">
        <f t="shared" si="9"/>
        <v>0.75</v>
      </c>
      <c r="H54" s="7">
        <f t="shared" si="9"/>
        <v>0.25</v>
      </c>
      <c r="I54" s="7">
        <f t="shared" si="9"/>
        <v>0</v>
      </c>
      <c r="J54" s="7">
        <f t="shared" si="9"/>
        <v>0.375</v>
      </c>
      <c r="K54" s="7">
        <f t="shared" si="9"/>
        <v>0</v>
      </c>
      <c r="L54" s="7">
        <f t="shared" si="9"/>
        <v>0</v>
      </c>
    </row>
    <row r="55" spans="1:12" x14ac:dyDescent="0.3">
      <c r="A55" s="65"/>
      <c r="J55" s="74" t="s">
        <v>3277</v>
      </c>
    </row>
    <row r="56" spans="1:12" x14ac:dyDescent="0.3">
      <c r="A56" s="18" t="s">
        <v>1286</v>
      </c>
    </row>
    <row r="57" spans="1:12" x14ac:dyDescent="0.3">
      <c r="A57" s="3"/>
      <c r="B57" s="8" t="s">
        <v>1210</v>
      </c>
      <c r="C57" s="8" t="s">
        <v>1209</v>
      </c>
      <c r="D57" s="114" t="s">
        <v>1206</v>
      </c>
    </row>
    <row r="58" spans="1:12" x14ac:dyDescent="0.3">
      <c r="A58" s="3" t="s">
        <v>1207</v>
      </c>
      <c r="B58" s="4">
        <f>COUNTIF('ALINDAO_Cleaned Data'!ACA:ACA,"Oui")</f>
        <v>5</v>
      </c>
      <c r="C58" s="4">
        <f>COUNTIF('ALINDAO_Cleaned Data'!ACA:ACA,"non")</f>
        <v>3</v>
      </c>
      <c r="D58" s="111">
        <f>SUM(B58:C58)</f>
        <v>8</v>
      </c>
    </row>
    <row r="59" spans="1:12" ht="26" x14ac:dyDescent="0.3">
      <c r="A59" s="53" t="s">
        <v>3273</v>
      </c>
      <c r="B59" s="7">
        <f>B58/$B$3</f>
        <v>0.625</v>
      </c>
      <c r="C59" s="7">
        <f>C58/$B$3</f>
        <v>0.375</v>
      </c>
      <c r="D59" s="116">
        <f>SUM(B59:C59)</f>
        <v>1</v>
      </c>
    </row>
    <row r="61" spans="1:12" x14ac:dyDescent="0.3">
      <c r="B61" s="18" t="s">
        <v>1287</v>
      </c>
    </row>
    <row r="62" spans="1:12" x14ac:dyDescent="0.3">
      <c r="B62" s="21">
        <f>AVERAGE('ALINDAO_Cleaned Data'!ACB:ACB)</f>
        <v>9.1999999999999993</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COUNTIF('ALINDAO_Cleaned Data'!ACC:ACC,"Oui")</f>
        <v>4</v>
      </c>
      <c r="D66" s="4">
        <f>COUNTIF('ALINDAO_Cleaned Data'!ACC:ACC,"non")</f>
        <v>1</v>
      </c>
      <c r="E66" s="111">
        <f>SUM(C66:D66)</f>
        <v>5</v>
      </c>
    </row>
    <row r="67" spans="1:5" ht="49" x14ac:dyDescent="0.3">
      <c r="B67" s="53" t="s">
        <v>3278</v>
      </c>
      <c r="C67" s="7">
        <f>C66/$B$58</f>
        <v>0.8</v>
      </c>
      <c r="D67" s="7">
        <f>D66/$B$58</f>
        <v>0.2</v>
      </c>
      <c r="E67" s="116">
        <f>SUM(C67:D67)</f>
        <v>1</v>
      </c>
    </row>
    <row r="68" spans="1:5" x14ac:dyDescent="0.3">
      <c r="B68" s="14"/>
      <c r="C68" s="15"/>
      <c r="D68" s="15"/>
    </row>
    <row r="69" spans="1:5" x14ac:dyDescent="0.3">
      <c r="C69" s="18" t="s">
        <v>1289</v>
      </c>
    </row>
    <row r="70" spans="1:5" x14ac:dyDescent="0.3">
      <c r="C70" s="21">
        <f>AVERAGE('ALINDAO_Cleaned Data'!ACD:ACD)</f>
        <v>5.25</v>
      </c>
    </row>
    <row r="71" spans="1:5" x14ac:dyDescent="0.3">
      <c r="C71" s="18" t="s">
        <v>1290</v>
      </c>
    </row>
    <row r="72" spans="1:5" x14ac:dyDescent="0.3">
      <c r="C72" s="21">
        <f>AVERAGE('ALINDAO_Cleaned Data'!ACF:ACF)</f>
        <v>5.25</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COUNTIF('ALINDAO_Cleaned Data'!ACI:ACI,"Oui")</f>
        <v>2</v>
      </c>
      <c r="D76" s="4">
        <f>COUNTIF('ALINDAO_Cleaned Data'!ACI:ACI,"non")</f>
        <v>3</v>
      </c>
      <c r="E76" s="111">
        <f>SUM(C76:D76)</f>
        <v>5</v>
      </c>
    </row>
    <row r="77" spans="1:5" ht="49" x14ac:dyDescent="0.3">
      <c r="B77" s="53" t="s">
        <v>3278</v>
      </c>
      <c r="C77" s="7">
        <f>C76/$B$58</f>
        <v>0.4</v>
      </c>
      <c r="D77" s="7">
        <f>D76/$B$58</f>
        <v>0.6</v>
      </c>
      <c r="E77" s="116">
        <f>SUM(C77:D77)</f>
        <v>1</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COUNTIF('ALINDAO_Cleaned Data'!ACJ:ACJ,"Oui")</f>
        <v>5</v>
      </c>
      <c r="C81" s="4">
        <f>COUNTIF('ALINDAO_Cleaned Data'!ACJ:ACJ,"non")</f>
        <v>3</v>
      </c>
      <c r="D81" s="111">
        <f>SUM(B81:C81)</f>
        <v>8</v>
      </c>
    </row>
    <row r="82" spans="1:12" ht="26" x14ac:dyDescent="0.3">
      <c r="A82" s="53" t="s">
        <v>3273</v>
      </c>
      <c r="B82" s="7">
        <f>B81/$B$3</f>
        <v>0.625</v>
      </c>
      <c r="C82" s="7">
        <f>C81/$B$3</f>
        <v>0.375</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COUNTIF('ALINDAO_Cleaned Data'!ACK:ACK,"fontaine")</f>
        <v>0</v>
      </c>
      <c r="D86" s="4">
        <f>COUNTIF('ALINDAO_Cleaned Data'!ACK:ACK,"pompe_main")</f>
        <v>3</v>
      </c>
      <c r="E86" s="4">
        <f>COUNTIF('ALINDAO_Cleaned Data'!ACK:ACK,"pompe_pied")</f>
        <v>0</v>
      </c>
      <c r="F86" s="4">
        <f>COUNTIF('ALINDAO_Cleaned Data'!ACK:ACK,"puits_protege")</f>
        <v>1</v>
      </c>
      <c r="G86" s="4">
        <f>COUNTIF('ALINDAO_Cleaned Data'!ACK:ACK,"puits_non_protege")</f>
        <v>1</v>
      </c>
      <c r="H86" s="4">
        <f>COUNTIF('ALINDAO_Cleaned Data'!ACK:ACK,"source_amenagee")</f>
        <v>0</v>
      </c>
      <c r="I86" s="4">
        <f>COUNTIF('ALINDAO_Cleaned Data'!ACK:ACK,"source_non_amenagee")</f>
        <v>0</v>
      </c>
      <c r="J86" s="4">
        <f>COUNTIF('ALINDAO_Cleaned Data'!ACK:ACK,"camion")</f>
        <v>0</v>
      </c>
      <c r="K86" s="4">
        <f>COUNTIF('ALINDAO_Cleaned Data'!ACK:ACK,"autre")</f>
        <v>0</v>
      </c>
      <c r="L86" s="111">
        <f>SUM(C86:K86)</f>
        <v>5</v>
      </c>
    </row>
    <row r="87" spans="1:12" ht="49" x14ac:dyDescent="0.3">
      <c r="A87" s="14"/>
      <c r="B87" s="53" t="s">
        <v>3279</v>
      </c>
      <c r="C87" s="7">
        <f>C86/$B$81</f>
        <v>0</v>
      </c>
      <c r="D87" s="7">
        <f t="shared" ref="D87:K87" si="10">D86/$B$81</f>
        <v>0.6</v>
      </c>
      <c r="E87" s="7">
        <f t="shared" si="10"/>
        <v>0</v>
      </c>
      <c r="F87" s="7">
        <f t="shared" si="10"/>
        <v>0.2</v>
      </c>
      <c r="G87" s="7">
        <f t="shared" si="10"/>
        <v>0.2</v>
      </c>
      <c r="H87" s="7">
        <f t="shared" si="10"/>
        <v>0</v>
      </c>
      <c r="I87" s="7">
        <f t="shared" si="10"/>
        <v>0</v>
      </c>
      <c r="J87" s="7">
        <f t="shared" si="10"/>
        <v>0</v>
      </c>
      <c r="K87" s="7">
        <f t="shared" si="10"/>
        <v>0</v>
      </c>
      <c r="L87" s="116">
        <f>SUM(C87:K87)</f>
        <v>1</v>
      </c>
    </row>
    <row r="89" spans="1:12" x14ac:dyDescent="0.3">
      <c r="A89" s="21" t="s">
        <v>1302</v>
      </c>
    </row>
    <row r="90" spans="1:12" ht="15.5" x14ac:dyDescent="0.35">
      <c r="A90" s="67" t="s">
        <v>1964</v>
      </c>
      <c r="E90" s="29" t="s">
        <v>1963</v>
      </c>
    </row>
    <row r="91" spans="1:12" x14ac:dyDescent="0.3">
      <c r="A91" s="66">
        <f>AVERAGE('ALINDAO_Cleaned Data'!ABZ:ABZ)</f>
        <v>7.25</v>
      </c>
      <c r="E91" s="19">
        <f>AVERAGE('ALINDAO_Cleaned Data'!ACN:ACN)</f>
        <v>776.125</v>
      </c>
    </row>
    <row r="92" spans="1:12" x14ac:dyDescent="0.3">
      <c r="A92" s="66"/>
    </row>
    <row r="93" spans="1:12" x14ac:dyDescent="0.3">
      <c r="A93" s="66"/>
      <c r="D93" s="70">
        <f>E91/A91</f>
        <v>107.05172413793103</v>
      </c>
      <c r="E93" s="68" t="s">
        <v>1965</v>
      </c>
    </row>
    <row r="94" spans="1:12" x14ac:dyDescent="0.3">
      <c r="A94" s="66"/>
    </row>
    <row r="95" spans="1:12" ht="15.5" x14ac:dyDescent="0.35">
      <c r="A95" s="18" t="s">
        <v>1967</v>
      </c>
      <c r="E95" s="29" t="s">
        <v>1966</v>
      </c>
    </row>
    <row r="96" spans="1:12" x14ac:dyDescent="0.3">
      <c r="A96" s="69">
        <f>AVERAGEIF('ALINDAO_Cleaned Data'!ZT:ZT,"public", 'ALINDAO_Cleaned Data'!ABZ:ABZ)</f>
        <v>6.833333333333333</v>
      </c>
      <c r="E96" s="19">
        <f>AVERAGEIF('ALINDAO_Cleaned Data'!ZT:ZT,"public",'ALINDAO_Cleaned Data'!ACN:ACN)</f>
        <v>760.83333333333337</v>
      </c>
    </row>
    <row r="98" spans="1:7" x14ac:dyDescent="0.3">
      <c r="D98" s="70">
        <f>E96/A96</f>
        <v>111.34146341463416</v>
      </c>
      <c r="E98" s="68" t="s">
        <v>1965</v>
      </c>
    </row>
    <row r="100" spans="1:7" ht="15.5" x14ac:dyDescent="0.35">
      <c r="A100" s="18" t="s">
        <v>1969</v>
      </c>
      <c r="E100" s="18"/>
    </row>
    <row r="101" spans="1:7" x14ac:dyDescent="0.3">
      <c r="A101" s="93">
        <f>AVERAGE('ALINDAO_Cleaned Data'!ACO:ACO)</f>
        <v>329.375</v>
      </c>
      <c r="E101" s="18"/>
    </row>
    <row r="102" spans="1:7" ht="15.5" x14ac:dyDescent="0.35">
      <c r="A102" s="29" t="s">
        <v>1968</v>
      </c>
      <c r="E102" s="18"/>
    </row>
    <row r="103" spans="1:7" x14ac:dyDescent="0.3">
      <c r="A103" s="93">
        <f>AVERAGE('ALINDAO_Cleaned Data'!ACQ:ACQ)</f>
        <v>434.25</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COUNTIF('ALINDAO_Cleaned Data'!ACV:ACV,"Oui")</f>
        <v>4</v>
      </c>
      <c r="C107" s="4">
        <f>COUNTIF('ALINDAO_Cleaned Data'!ACV:ACV,"non")</f>
        <v>4</v>
      </c>
      <c r="D107" s="4">
        <f>COUNTIF('ALINDAO_Cleaned Data'!ACV:ACV,"nsp")</f>
        <v>0</v>
      </c>
      <c r="E107" s="111">
        <f>SUM(B107:C107)</f>
        <v>8</v>
      </c>
    </row>
    <row r="108" spans="1:7" ht="37.5" x14ac:dyDescent="0.3">
      <c r="A108" s="53" t="s">
        <v>3280</v>
      </c>
      <c r="B108" s="7">
        <f>B107/$E$23</f>
        <v>0.5</v>
      </c>
      <c r="C108" s="7">
        <f>C107/$E$23</f>
        <v>0.5</v>
      </c>
      <c r="D108" s="7">
        <f>D107/$E$23</f>
        <v>0</v>
      </c>
      <c r="E108" s="116">
        <f>SUM(B108:C108)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COUNTIF('ALINDAO_Cleaned Data'!ACW:ACW,"peu_diminue")</f>
        <v>2</v>
      </c>
      <c r="D112" s="24">
        <f>COUNTIF('ALINDAO_Cleaned Data'!ACW:ACW,"bcp_diminue")</f>
        <v>0</v>
      </c>
      <c r="E112" s="24">
        <f>COUNTIF('ALINDAO_Cleaned Data'!ACW:ACW,"peu_augmente")</f>
        <v>1</v>
      </c>
      <c r="F112" s="24">
        <f>COUNTIF('ALINDAO_Cleaned Data'!ACW:ACW,"bcp_augmente")</f>
        <v>1</v>
      </c>
      <c r="G112" s="111">
        <f>SUM(C112:F112)</f>
        <v>4</v>
      </c>
    </row>
    <row r="113" spans="1:10" ht="49" x14ac:dyDescent="0.3">
      <c r="B113" s="53" t="s">
        <v>3281</v>
      </c>
      <c r="C113" s="7">
        <f>C112/$B$107</f>
        <v>0.5</v>
      </c>
      <c r="D113" s="7">
        <f t="shared" ref="D113:F113" si="11">D112/$B$107</f>
        <v>0</v>
      </c>
      <c r="E113" s="7">
        <f t="shared" si="11"/>
        <v>0.25</v>
      </c>
      <c r="F113" s="7">
        <f t="shared" si="11"/>
        <v>0.25</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COUNTIF('ALINDAO_Cleaned Data'!ACY:ACY,"1")</f>
        <v>0</v>
      </c>
      <c r="D117" s="24">
        <f>COUNTIF('ALINDAO_Cleaned Data'!ACZ:ACZ,"1")</f>
        <v>1</v>
      </c>
      <c r="E117" s="24">
        <f>COUNTIF('ALINDAO_Cleaned Data'!ADA:ADA,"1")</f>
        <v>0</v>
      </c>
      <c r="F117" s="24">
        <f>COUNTIF('ALINDAO_Cleaned Data'!ADB:ADB,"1")</f>
        <v>0</v>
      </c>
      <c r="G117" s="24">
        <f>COUNTIF('ALINDAO_Cleaned Data'!ADE:ADE,"1")</f>
        <v>0</v>
      </c>
      <c r="H117" s="24">
        <f>COUNTIF('ALINDAO_Cleaned Data'!ADC:ADC,"1")</f>
        <v>1</v>
      </c>
      <c r="I117" s="24">
        <f>COUNTIF('ALINDAO_Cleaned Data'!ADD:ADD,"1")</f>
        <v>0</v>
      </c>
    </row>
    <row r="118" spans="1:10" ht="49" x14ac:dyDescent="0.3">
      <c r="B118" s="53" t="s">
        <v>3282</v>
      </c>
      <c r="C118" s="7">
        <f>C117/SUM(E112,F112)</f>
        <v>0</v>
      </c>
      <c r="D118" s="7">
        <f>D117/SUM(E112,F112)</f>
        <v>0.5</v>
      </c>
      <c r="E118" s="7">
        <f>E117/SUM(E112,F112)</f>
        <v>0</v>
      </c>
      <c r="F118" s="7">
        <f>F117/SUM(E112,F112)</f>
        <v>0</v>
      </c>
      <c r="G118" s="7">
        <f>G117/SUM(E112,F112)</f>
        <v>0</v>
      </c>
      <c r="H118" s="7">
        <f>H117/SUM(E112,F112)</f>
        <v>0.5</v>
      </c>
      <c r="I118" s="7">
        <f>I117/SUM(F112,G112)</f>
        <v>0</v>
      </c>
    </row>
    <row r="119" spans="1:10" x14ac:dyDescent="0.3">
      <c r="B119" s="50"/>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COUNTIF('ALINDAO_Cleaned Data'!ADH:ADH,"1")</f>
        <v>0</v>
      </c>
      <c r="D122" s="24">
        <f>COUNTIF('ALINDAO_Cleaned Data'!ADI:ADI,"1")</f>
        <v>0</v>
      </c>
      <c r="E122" s="24">
        <f>COUNTIF('ALINDAO_Cleaned Data'!ADJ:ADJ,"1")</f>
        <v>0</v>
      </c>
      <c r="F122" s="24">
        <f>COUNTIF('ALINDAO_Cleaned Data'!ADK:ADK,"1")</f>
        <v>0</v>
      </c>
      <c r="G122" s="24">
        <f>COUNTIF('ALINDAO_Cleaned Data'!ADL:ADL,"1")</f>
        <v>0</v>
      </c>
      <c r="H122" s="24">
        <f>COUNTIF('ALINDAO_Cleaned Data'!ADO:ADO,"1")</f>
        <v>2</v>
      </c>
      <c r="I122" s="24">
        <f>COUNTIF('ALINDAO_Cleaned Data'!ADM:ADM,"1")</f>
        <v>0</v>
      </c>
      <c r="J122" s="24">
        <f>COUNTIF('ALINDAO_Cleaned Data'!ADN:ADN,"1")</f>
        <v>0</v>
      </c>
    </row>
    <row r="123" spans="1:10" ht="49" x14ac:dyDescent="0.3">
      <c r="B123" s="53" t="s">
        <v>3283</v>
      </c>
      <c r="C123" s="7">
        <f>C122/SUM(C112,D112)</f>
        <v>0</v>
      </c>
      <c r="D123" s="7">
        <f>D122/SUM(C112,D112)</f>
        <v>0</v>
      </c>
      <c r="E123" s="7">
        <f>E122/SUM(C112,D112)</f>
        <v>0</v>
      </c>
      <c r="F123" s="7">
        <f>F122/SUM(C112,D112)</f>
        <v>0</v>
      </c>
      <c r="G123" s="7">
        <f>G122/SUM(C112,D112)</f>
        <v>0</v>
      </c>
      <c r="H123" s="7">
        <f>H122/SUM(C112,D112)</f>
        <v>1</v>
      </c>
      <c r="I123" s="7">
        <f>I122/SUM(C112,D112)</f>
        <v>0</v>
      </c>
      <c r="J123" s="7">
        <f>J122/SUM(C112,D112)</f>
        <v>0</v>
      </c>
    </row>
    <row r="125" spans="1:10" x14ac:dyDescent="0.3">
      <c r="A125" s="18" t="s">
        <v>1323</v>
      </c>
    </row>
    <row r="126" spans="1:10" x14ac:dyDescent="0.3">
      <c r="A126" s="28">
        <f>AVERAGE('ALINDAO_Cleaned Data'!ADQ:ADQ)</f>
        <v>1.125</v>
      </c>
    </row>
    <row r="127" spans="1:10" x14ac:dyDescent="0.3">
      <c r="A127" s="28"/>
    </row>
    <row r="128" spans="1:10" x14ac:dyDescent="0.3">
      <c r="A128" s="18" t="s">
        <v>1319</v>
      </c>
    </row>
    <row r="129" spans="1:5" x14ac:dyDescent="0.3">
      <c r="A129" s="28">
        <f>AVERAGE('ALINDAO_Cleaned Data'!AEO:AEO)</f>
        <v>2.125</v>
      </c>
    </row>
    <row r="130" spans="1:5" x14ac:dyDescent="0.3">
      <c r="A130" s="27"/>
    </row>
    <row r="131" spans="1:5" x14ac:dyDescent="0.3">
      <c r="A131" s="18" t="s">
        <v>1320</v>
      </c>
    </row>
    <row r="132" spans="1:5" x14ac:dyDescent="0.3">
      <c r="A132" s="19">
        <f>AVERAGE('ALINDAO_Cleaned Data'!AFL:AFL)</f>
        <v>5.875</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COUNTIF('ALINDAO_Cleaned Data'!AGH:AGH,"Oui")</f>
        <v>0</v>
      </c>
      <c r="C136" s="24">
        <f>COUNTIF('ALINDAO_Cleaned Data'!AGH:AGH,"oui_rc")</f>
        <v>2</v>
      </c>
      <c r="D136" s="24">
        <f>COUNTIF('ALINDAO_Cleaned Data'!AGH:AGH,"non_rc")</f>
        <v>6</v>
      </c>
      <c r="E136" s="111">
        <f>SUM(B136:D136)</f>
        <v>8</v>
      </c>
    </row>
    <row r="137" spans="1:5" ht="37.5" x14ac:dyDescent="0.3">
      <c r="A137" s="53" t="s">
        <v>1974</v>
      </c>
      <c r="B137" s="7">
        <f>B136/$E$23</f>
        <v>0</v>
      </c>
      <c r="C137" s="7">
        <f t="shared" ref="C137:D137" si="12">C136/$E$23</f>
        <v>0.25</v>
      </c>
      <c r="D137" s="7">
        <f t="shared" si="12"/>
        <v>0.75</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COUNTIF('ALINDAO_Cleaned Data'!AGI:AGI,"Oui")</f>
        <v>0</v>
      </c>
      <c r="C141" s="24">
        <f>COUNTIF('ALINDAO_Cleaned Data'!AGI:AGI,"oui_rc")</f>
        <v>2</v>
      </c>
      <c r="D141" s="24">
        <f>COUNTIF('ALINDAO_Cleaned Data'!AGI:AGI,"non_rc")</f>
        <v>6</v>
      </c>
      <c r="E141" s="111">
        <f>SUM(B141:D141)</f>
        <v>8</v>
      </c>
    </row>
    <row r="142" spans="1:5" ht="37.5" x14ac:dyDescent="0.3">
      <c r="A142" s="53" t="s">
        <v>3284</v>
      </c>
      <c r="B142" s="7">
        <f>B141/$E$23</f>
        <v>0</v>
      </c>
      <c r="C142" s="7">
        <f t="shared" ref="C142:D142" si="13">C141/$E$23</f>
        <v>0.25</v>
      </c>
      <c r="D142" s="7">
        <f t="shared" si="13"/>
        <v>0.75</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COUNTIF('ALINDAO_Cleaned Data'!ACM:ACM,"Oui")</f>
        <v>3</v>
      </c>
      <c r="C148" s="24">
        <f>COUNTIF('ALINDAO_Cleaned Data'!ACM:ACM,"non")</f>
        <v>5</v>
      </c>
      <c r="D148" s="24">
        <f>COUNTIF('ALINDAO_Cleaned Data'!ACM:ACM,"difficilement")</f>
        <v>0</v>
      </c>
      <c r="E148" s="111">
        <f>SUM(B148:D148)</f>
        <v>8</v>
      </c>
    </row>
    <row r="149" spans="1:8" s="36" customFormat="1" ht="39" customHeight="1" x14ac:dyDescent="0.3">
      <c r="A149" s="53" t="s">
        <v>3284</v>
      </c>
      <c r="B149" s="55">
        <f>B148/$E$23</f>
        <v>0.375</v>
      </c>
      <c r="C149" s="55">
        <f>C148/$E$23</f>
        <v>0.625</v>
      </c>
      <c r="D149" s="55">
        <f>D148/$E$23</f>
        <v>0</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COUNTIF('ALINDAO_Cleaned Data'!AGJ:AGJ,"Oui")</f>
        <v>2</v>
      </c>
      <c r="C153" s="24">
        <f>COUNTIF('ALINDAO_Cleaned Data'!AGJ:AGJ,"non")</f>
        <v>6</v>
      </c>
      <c r="D153" s="111">
        <f>SUM(B153:C153)</f>
        <v>8</v>
      </c>
    </row>
    <row r="154" spans="1:8" s="36" customFormat="1" ht="37.5" x14ac:dyDescent="0.3">
      <c r="A154" s="53" t="s">
        <v>3284</v>
      </c>
      <c r="B154" s="55">
        <f>B153/$E$23</f>
        <v>0.25</v>
      </c>
      <c r="C154" s="55">
        <f>C153/$E$23</f>
        <v>0.75</v>
      </c>
      <c r="D154" s="7">
        <f>SUM(B154:C154)</f>
        <v>1</v>
      </c>
    </row>
    <row r="155" spans="1:8" x14ac:dyDescent="0.3">
      <c r="A155" s="14"/>
      <c r="B155" s="15"/>
      <c r="C155" s="15"/>
    </row>
    <row r="156" spans="1:8" x14ac:dyDescent="0.3">
      <c r="A156" s="34" t="s">
        <v>2838</v>
      </c>
      <c r="B156" s="15"/>
      <c r="C156" s="15"/>
      <c r="E156" s="18" t="s">
        <v>1977</v>
      </c>
    </row>
    <row r="157" spans="1:8" x14ac:dyDescent="0.3">
      <c r="A157" s="32">
        <f>AVERAGE('ALINDAO_Cleaned Data'!AGK56)</f>
        <v>750</v>
      </c>
      <c r="B157" s="33" t="s">
        <v>1325</v>
      </c>
      <c r="C157" s="15"/>
      <c r="E157" s="3"/>
      <c r="F157" s="11" t="s">
        <v>1210</v>
      </c>
      <c r="G157" s="11" t="s">
        <v>1209</v>
      </c>
      <c r="H157" s="114" t="s">
        <v>1206</v>
      </c>
    </row>
    <row r="158" spans="1:8" x14ac:dyDescent="0.3">
      <c r="A158" s="32"/>
      <c r="B158" s="33"/>
      <c r="C158" s="15"/>
      <c r="E158" s="3" t="s">
        <v>1207</v>
      </c>
      <c r="F158" s="24">
        <f>COUNTIF('ALINDAO_Cleaned Data'!AGT:AGT,"Oui")</f>
        <v>0</v>
      </c>
      <c r="G158" s="24">
        <f>COUNTIF('ALINDAO_Cleaned Data'!AGT:AGT,"non")</f>
        <v>2</v>
      </c>
      <c r="H158" s="111">
        <f>SUM(F158:G158)</f>
        <v>2</v>
      </c>
    </row>
    <row r="159" spans="1:8" ht="26" x14ac:dyDescent="0.3">
      <c r="A159" s="34" t="s">
        <v>2839</v>
      </c>
      <c r="B159" s="33"/>
      <c r="C159" s="15"/>
      <c r="E159" s="53" t="s">
        <v>3285</v>
      </c>
      <c r="F159" s="7">
        <f>F158/$B$153</f>
        <v>0</v>
      </c>
      <c r="G159" s="7">
        <f>G158/$B$153</f>
        <v>1</v>
      </c>
      <c r="H159" s="7">
        <f>SUM(F159:G159)</f>
        <v>1</v>
      </c>
    </row>
    <row r="160" spans="1:8" x14ac:dyDescent="0.3">
      <c r="A160" s="32">
        <f>AVERAGE('ALINDAO_Cleaned Data'!AGK22)</f>
        <v>8000</v>
      </c>
      <c r="B160" s="33" t="s">
        <v>1325</v>
      </c>
      <c r="C160" s="15"/>
    </row>
    <row r="161" spans="1:13" x14ac:dyDescent="0.3">
      <c r="A161" s="32"/>
      <c r="B161" s="33"/>
      <c r="C161" s="15"/>
    </row>
    <row r="162" spans="1:13" x14ac:dyDescent="0.3">
      <c r="A162" s="17" t="s">
        <v>1326</v>
      </c>
      <c r="B162" s="33"/>
      <c r="C162" s="103" t="s">
        <v>3245</v>
      </c>
    </row>
    <row r="163" spans="1:13" s="36" customFormat="1" ht="59.5" customHeight="1" x14ac:dyDescent="0.35">
      <c r="A163" s="8" t="s">
        <v>1327</v>
      </c>
      <c r="B163" s="8" t="s">
        <v>1328</v>
      </c>
      <c r="C163" s="8" t="s">
        <v>1329</v>
      </c>
      <c r="D163" s="8" t="s">
        <v>1330</v>
      </c>
      <c r="E163" s="8" t="s">
        <v>1905</v>
      </c>
      <c r="F163" s="8" t="s">
        <v>1205</v>
      </c>
    </row>
    <row r="164" spans="1:13" x14ac:dyDescent="0.3">
      <c r="A164" s="3">
        <f>COUNTIF('ALINDAO_Cleaned Data'!AGM:AGM,"1")</f>
        <v>1</v>
      </c>
      <c r="B164" s="3">
        <f>COUNTIF('ALINDAO_Cleaned Data'!AGN:AGN,"1")</f>
        <v>2</v>
      </c>
      <c r="C164" s="3">
        <f>COUNTIF('ALINDAO_Cleaned Data'!AGO:AGO,"1")</f>
        <v>0</v>
      </c>
      <c r="D164" s="3">
        <f>COUNTIF('ALINDAO_Cleaned Data'!AGP:AGP,"1")</f>
        <v>0</v>
      </c>
      <c r="E164" s="3">
        <f>COUNTIF('ALINDAO_Cleaned Data'!AGQ:AGQ,"1")</f>
        <v>0</v>
      </c>
      <c r="F164" s="3">
        <f>COUNTIF('ALINDAO_Cleaned Data'!AGR:AGR,"1")</f>
        <v>0</v>
      </c>
    </row>
    <row r="165" spans="1:13" x14ac:dyDescent="0.3">
      <c r="A165" s="14"/>
      <c r="B165" s="14"/>
      <c r="C165" s="14"/>
      <c r="D165" s="14"/>
      <c r="E165" s="14"/>
      <c r="F165" s="14"/>
    </row>
    <row r="166" spans="1:13" x14ac:dyDescent="0.3">
      <c r="A166" s="18" t="s">
        <v>1331</v>
      </c>
      <c r="C166" s="103" t="s">
        <v>3245</v>
      </c>
    </row>
    <row r="167" spans="1:13" x14ac:dyDescent="0.3">
      <c r="A167" s="3"/>
      <c r="B167" s="8" t="s">
        <v>1250</v>
      </c>
      <c r="C167" s="8" t="s">
        <v>1251</v>
      </c>
      <c r="D167" s="35" t="s">
        <v>1905</v>
      </c>
      <c r="E167" s="8" t="s">
        <v>1205</v>
      </c>
      <c r="F167" s="8" t="s">
        <v>1252</v>
      </c>
    </row>
    <row r="168" spans="1:13" x14ac:dyDescent="0.3">
      <c r="A168" s="3" t="s">
        <v>1207</v>
      </c>
      <c r="B168" s="3">
        <f>COUNTIF('ALINDAO_Cleaned Data'!AHR:AHR,"1")</f>
        <v>0</v>
      </c>
      <c r="C168" s="3">
        <f>COUNTIF('ALINDAO_Cleaned Data'!AHS:AHS,"1")</f>
        <v>1</v>
      </c>
      <c r="D168" s="3">
        <f>COUNTIF('ALINDAO_Cleaned Data'!AHT:AHT,"1")</f>
        <v>4</v>
      </c>
      <c r="E168" s="3">
        <f>COUNTIF('ALINDAO_Cleaned Data'!AHU:AHU,"1")</f>
        <v>0</v>
      </c>
      <c r="F168" s="3">
        <f>COUNTIF('ALINDAO_Cleaned Data'!AHV:AHV,"1")</f>
        <v>3</v>
      </c>
    </row>
    <row r="169" spans="1:13" s="36" customFormat="1" ht="37" x14ac:dyDescent="0.25">
      <c r="A169" s="53" t="s">
        <v>3284</v>
      </c>
      <c r="B169" s="55">
        <f>B168/$E$23</f>
        <v>0</v>
      </c>
      <c r="C169" s="55">
        <f t="shared" ref="C169:F169" si="14">C168/$E$23</f>
        <v>0.125</v>
      </c>
      <c r="D169" s="55">
        <f t="shared" si="14"/>
        <v>0.5</v>
      </c>
      <c r="E169" s="55">
        <f t="shared" si="14"/>
        <v>0</v>
      </c>
      <c r="F169" s="55">
        <f t="shared" si="14"/>
        <v>0.375</v>
      </c>
    </row>
    <row r="171" spans="1:13" ht="15.5" x14ac:dyDescent="0.35">
      <c r="A171" s="29" t="s">
        <v>1299</v>
      </c>
      <c r="C171" s="103" t="s">
        <v>3245</v>
      </c>
    </row>
    <row r="172" spans="1:13" ht="70" x14ac:dyDescent="0.3">
      <c r="A172" s="8" t="s">
        <v>1475</v>
      </c>
      <c r="B172" s="8" t="s">
        <v>1332</v>
      </c>
      <c r="C172" s="8" t="s">
        <v>1333</v>
      </c>
      <c r="D172" s="8" t="s">
        <v>1978</v>
      </c>
      <c r="E172" s="8" t="s">
        <v>1979</v>
      </c>
      <c r="F172" s="8" t="s">
        <v>1980</v>
      </c>
      <c r="G172" s="8" t="s">
        <v>1981</v>
      </c>
      <c r="H172" s="8" t="s">
        <v>1764</v>
      </c>
      <c r="I172" s="8" t="s">
        <v>1905</v>
      </c>
      <c r="J172" s="8" t="s">
        <v>1205</v>
      </c>
    </row>
    <row r="173" spans="1:13" x14ac:dyDescent="0.3">
      <c r="A173" s="3">
        <f>COUNTIF('ALINDAO_Cleaned Data'!AHY:AHY,"1")</f>
        <v>7</v>
      </c>
      <c r="B173" s="3">
        <f>COUNTIF('ALINDAO_Cleaned Data'!AHZ:AHZ,"1")</f>
        <v>5</v>
      </c>
      <c r="C173" s="3">
        <f>COUNTIF('ALINDAO_Cleaned Data'!AIA:AIA,"1")</f>
        <v>5</v>
      </c>
      <c r="D173" s="3">
        <f>COUNTIF('ALINDAO_Cleaned Data'!AIB:AIB,"1")</f>
        <v>6</v>
      </c>
      <c r="E173" s="3">
        <f>COUNTIF('ALINDAO_Cleaned Data'!AIC:AIC,"1")</f>
        <v>5</v>
      </c>
      <c r="F173" s="3">
        <f>COUNTIF('ALINDAO_Cleaned Data'!AID:AID,"1")</f>
        <v>5</v>
      </c>
      <c r="G173" s="3">
        <f>COUNTIF('ALINDAO_Cleaned Data'!AIE:AIE,"1")</f>
        <v>1</v>
      </c>
      <c r="H173" s="3">
        <f>COUNTIF('ALINDAO_Cleaned Data'!AIG:AIG,"1")</f>
        <v>0</v>
      </c>
      <c r="I173" s="3">
        <f>COUNTIF('ALINDAO_Cleaned Data'!AIH:AIH,"1")</f>
        <v>0</v>
      </c>
      <c r="J173" s="3">
        <f>COUNTIF('ALINDAO_Cleaned Data'!AII:AII,"1")</f>
        <v>0</v>
      </c>
    </row>
    <row r="175" spans="1:13" ht="15.5" x14ac:dyDescent="0.35">
      <c r="A175" s="29" t="s">
        <v>1300</v>
      </c>
      <c r="D175" s="103" t="s">
        <v>3245</v>
      </c>
    </row>
    <row r="176" spans="1:13" ht="42" x14ac:dyDescent="0.3">
      <c r="A176" s="8" t="s">
        <v>1912</v>
      </c>
      <c r="B176" s="8" t="s">
        <v>1982</v>
      </c>
      <c r="C176" s="8" t="s">
        <v>1913</v>
      </c>
      <c r="D176" s="8" t="s">
        <v>1914</v>
      </c>
      <c r="E176" s="8" t="s">
        <v>1915</v>
      </c>
      <c r="F176" s="8" t="s">
        <v>1916</v>
      </c>
      <c r="G176" s="8" t="s">
        <v>1917</v>
      </c>
      <c r="H176" s="8" t="s">
        <v>1918</v>
      </c>
      <c r="I176" s="8" t="s">
        <v>1919</v>
      </c>
      <c r="J176" s="8" t="s">
        <v>1920</v>
      </c>
      <c r="K176" s="8" t="s">
        <v>1252</v>
      </c>
      <c r="L176" s="8" t="s">
        <v>1905</v>
      </c>
      <c r="M176" s="8" t="s">
        <v>1205</v>
      </c>
    </row>
    <row r="177" spans="1:16" x14ac:dyDescent="0.3">
      <c r="A177" s="24">
        <f>COUNTIF('ALINDAO_Cleaned Data'!AIL:AIL,"1")</f>
        <v>0</v>
      </c>
      <c r="B177" s="24">
        <f>COUNTIF('ALINDAO_Cleaned Data'!AIM:AIM,"1")</f>
        <v>0</v>
      </c>
      <c r="C177" s="24">
        <f>COUNTIF('ALINDAO_Cleaned Data'!AIN:AIN,"1")</f>
        <v>0</v>
      </c>
      <c r="D177" s="24">
        <f>COUNTIF('ALINDAO_Cleaned Data'!AIO:AIO,"1")</f>
        <v>1</v>
      </c>
      <c r="E177" s="24">
        <f>COUNTIF('ALINDAO_Cleaned Data'!AIP:AIP,"1")</f>
        <v>3</v>
      </c>
      <c r="F177" s="24">
        <f>COUNTIF('ALINDAO_Cleaned Data'!AIQ:AIQ,"1")</f>
        <v>0</v>
      </c>
      <c r="G177" s="24">
        <f>COUNTIF('ALINDAO_Cleaned Data'!AIR:AIR,"1")</f>
        <v>0</v>
      </c>
      <c r="H177" s="24">
        <f>COUNTIF('ALINDAO_Cleaned Data'!AIS:AIS,"1")</f>
        <v>0</v>
      </c>
      <c r="I177" s="24">
        <f>COUNTIF('ALINDAO_Cleaned Data'!AIT:AIT,"1")</f>
        <v>2</v>
      </c>
      <c r="J177" s="24">
        <f>COUNTIF('ALINDAO_Cleaned Data'!AIX:AIX,"1")</f>
        <v>0</v>
      </c>
      <c r="K177" s="24">
        <f>COUNTIF('ALINDAO_Cleaned Data'!AIU:AIU,"1")</f>
        <v>2</v>
      </c>
      <c r="L177" s="24">
        <f>COUNTIF('ALINDAO_Cleaned Data'!AIV:AIV,"1")</f>
        <v>0</v>
      </c>
      <c r="M177" s="24">
        <f>COUNTIF('ALINDAO_Cleaned Data'!AIW:AIW,"1")</f>
        <v>0</v>
      </c>
    </row>
    <row r="179" spans="1:16" ht="15.5" x14ac:dyDescent="0.35">
      <c r="A179" s="29" t="s">
        <v>1334</v>
      </c>
    </row>
    <row r="180" spans="1:16" x14ac:dyDescent="0.3">
      <c r="A180" s="3"/>
      <c r="B180" s="8" t="s">
        <v>1210</v>
      </c>
      <c r="C180" s="8" t="s">
        <v>1209</v>
      </c>
      <c r="D180" s="114" t="s">
        <v>1206</v>
      </c>
    </row>
    <row r="181" spans="1:16" x14ac:dyDescent="0.3">
      <c r="A181" s="3" t="s">
        <v>1207</v>
      </c>
      <c r="B181" s="24">
        <f>COUNTIF('ALINDAO_Cleaned Data'!AIZ:AIZ,"OUI")</f>
        <v>3</v>
      </c>
      <c r="C181" s="24">
        <f>COUNTIF('ALINDAO_Cleaned Data'!AIZ:AIZ,"non")</f>
        <v>5</v>
      </c>
      <c r="D181" s="111">
        <f>SUM(B181:C181)</f>
        <v>8</v>
      </c>
    </row>
    <row r="182" spans="1:16" ht="26" x14ac:dyDescent="0.3">
      <c r="A182" s="53" t="s">
        <v>3273</v>
      </c>
      <c r="B182" s="7">
        <f>(B181/$B$3)</f>
        <v>0.375</v>
      </c>
      <c r="C182" s="7">
        <f>(C181/$B$3)</f>
        <v>0.625</v>
      </c>
      <c r="D182" s="7">
        <f>SUM(B182:C182)</f>
        <v>1</v>
      </c>
    </row>
    <row r="184" spans="1:16" x14ac:dyDescent="0.3">
      <c r="B184" s="18" t="s">
        <v>1262</v>
      </c>
      <c r="D184" s="103" t="s">
        <v>3245</v>
      </c>
    </row>
    <row r="185" spans="1:16" ht="14.5" x14ac:dyDescent="0.35">
      <c r="B185" s="3"/>
      <c r="C185" s="11" t="s">
        <v>1263</v>
      </c>
      <c r="D185" s="11" t="s">
        <v>1264</v>
      </c>
      <c r="E185" s="11" t="s">
        <v>1256</v>
      </c>
      <c r="F185" s="11" t="s">
        <v>1257</v>
      </c>
      <c r="G185" s="11" t="s">
        <v>1240</v>
      </c>
      <c r="H185" s="11" t="s">
        <v>1905</v>
      </c>
      <c r="I185" s="11" t="s">
        <v>1205</v>
      </c>
      <c r="J185" s="23"/>
      <c r="K185" s="23"/>
    </row>
    <row r="186" spans="1:16" x14ac:dyDescent="0.3">
      <c r="B186" s="3" t="s">
        <v>1207</v>
      </c>
      <c r="C186" s="24">
        <f>COUNTIF('ALINDAO_Cleaned Data'!AJB:AJB,"1")</f>
        <v>0</v>
      </c>
      <c r="D186" s="24">
        <f>COUNTIF('ALINDAO_Cleaned Data'!AJC:AJC,"1")</f>
        <v>0</v>
      </c>
      <c r="E186" s="24">
        <f>COUNTIF('ALINDAO_Cleaned Data'!AJD:AJD,"1")</f>
        <v>0</v>
      </c>
      <c r="F186" s="24">
        <f>COUNTIF('ALINDAO_Cleaned Data'!AJE:AJE,"1")</f>
        <v>0</v>
      </c>
      <c r="G186" s="24">
        <f>COUNTIF('ALINDAO_Cleaned Data'!AJF:AJF,"1")</f>
        <v>3</v>
      </c>
      <c r="H186" s="24">
        <f>COUNTIF('ALINDAO_Cleaned Data'!AJG:AJG,"1")</f>
        <v>0</v>
      </c>
      <c r="I186" s="24">
        <f>COUNTIF('ALINDAO_Cleaned Data'!AJH:AJH,"1")</f>
        <v>0</v>
      </c>
    </row>
    <row r="187" spans="1:16" ht="37.5" x14ac:dyDescent="0.3">
      <c r="B187" s="53" t="s">
        <v>3286</v>
      </c>
      <c r="C187" s="7">
        <f>C186/$B$181</f>
        <v>0</v>
      </c>
      <c r="D187" s="7">
        <f t="shared" ref="D187:I187" si="15">D186/$B$181</f>
        <v>0</v>
      </c>
      <c r="E187" s="7">
        <f t="shared" si="15"/>
        <v>0</v>
      </c>
      <c r="F187" s="7">
        <f t="shared" si="15"/>
        <v>0</v>
      </c>
      <c r="G187" s="7">
        <f t="shared" si="15"/>
        <v>1</v>
      </c>
      <c r="H187" s="7">
        <f t="shared" si="15"/>
        <v>0</v>
      </c>
      <c r="I187" s="7">
        <f t="shared" si="15"/>
        <v>0</v>
      </c>
    </row>
    <row r="189" spans="1:16" x14ac:dyDescent="0.3">
      <c r="B189" s="18" t="s">
        <v>1265</v>
      </c>
      <c r="D189" s="103" t="s">
        <v>3245</v>
      </c>
    </row>
    <row r="190" spans="1:16" ht="70" x14ac:dyDescent="0.35">
      <c r="B190" s="3"/>
      <c r="C190" s="11" t="s">
        <v>1534</v>
      </c>
      <c r="D190" s="11" t="s">
        <v>1535</v>
      </c>
      <c r="E190" s="11" t="s">
        <v>1985</v>
      </c>
      <c r="F190" s="11" t="s">
        <v>1536</v>
      </c>
      <c r="G190" s="11" t="s">
        <v>1986</v>
      </c>
      <c r="H190" s="11" t="s">
        <v>1987</v>
      </c>
      <c r="I190" s="11" t="s">
        <v>1988</v>
      </c>
      <c r="J190" s="11" t="s">
        <v>1526</v>
      </c>
      <c r="K190" s="11" t="s">
        <v>1527</v>
      </c>
      <c r="L190" s="11" t="s">
        <v>1525</v>
      </c>
      <c r="M190" s="11" t="s">
        <v>1905</v>
      </c>
      <c r="N190" s="11" t="s">
        <v>1205</v>
      </c>
      <c r="P190" s="23"/>
    </row>
    <row r="191" spans="1:16" x14ac:dyDescent="0.3">
      <c r="B191" s="3" t="s">
        <v>1207</v>
      </c>
      <c r="C191" s="24">
        <f>COUNTIF('ALINDAO_Cleaned Data'!AJK:AJK,"1")</f>
        <v>0</v>
      </c>
      <c r="D191" s="24">
        <f>COUNTIF('ALINDAO_Cleaned Data'!AJL:AJL,"1")</f>
        <v>0</v>
      </c>
      <c r="E191" s="24">
        <f>COUNTIF('ALINDAO_Cleaned Data'!AJM:AJM,"1")</f>
        <v>0</v>
      </c>
      <c r="F191" s="24">
        <f>COUNTIF('ALINDAO_Cleaned Data'!AJN:AJN,"1")</f>
        <v>0</v>
      </c>
      <c r="G191" s="24">
        <f>COUNTIF('ALINDAO_Cleaned Data'!AJO:AJO,"1")</f>
        <v>1</v>
      </c>
      <c r="H191" s="24">
        <f>COUNTIF('ALINDAO_Cleaned Data'!AJP:AJP,"1")</f>
        <v>2</v>
      </c>
      <c r="I191" s="24">
        <f>COUNTIF('ALINDAO_Cleaned Data'!AJQ:AJQ,"1")</f>
        <v>0</v>
      </c>
      <c r="J191" s="24">
        <f>COUNTIF('ALINDAO_Cleaned Data'!AJR:AJR,"1")</f>
        <v>1</v>
      </c>
      <c r="K191" s="24">
        <f>COUNTIF('ALINDAO_Cleaned Data'!AJS:AJS,"1")</f>
        <v>0</v>
      </c>
      <c r="L191" s="24">
        <f>COUNTIF('ALINDAO_Cleaned Data'!AJT:AJT,"1")</f>
        <v>0</v>
      </c>
      <c r="M191" s="24">
        <f>COUNTIF('ALINDAO_Cleaned Data'!AJU:AJU,"1")</f>
        <v>0</v>
      </c>
      <c r="N191" s="24">
        <f>COUNTIF('ALINDAO_Cleaned Data'!AJV:AJV,"1")</f>
        <v>0</v>
      </c>
    </row>
    <row r="192" spans="1:16" ht="37.5" x14ac:dyDescent="0.3">
      <c r="B192" s="53" t="s">
        <v>3286</v>
      </c>
      <c r="C192" s="7">
        <f>C191/$B$181</f>
        <v>0</v>
      </c>
      <c r="D192" s="7">
        <f t="shared" ref="D192:N192" si="16">D191/$B$181</f>
        <v>0</v>
      </c>
      <c r="E192" s="7">
        <f t="shared" si="16"/>
        <v>0</v>
      </c>
      <c r="F192" s="7">
        <f t="shared" si="16"/>
        <v>0</v>
      </c>
      <c r="G192" s="7">
        <f t="shared" si="16"/>
        <v>0.33333333333333331</v>
      </c>
      <c r="H192" s="7">
        <f t="shared" si="16"/>
        <v>0.66666666666666663</v>
      </c>
      <c r="I192" s="7">
        <f t="shared" si="16"/>
        <v>0</v>
      </c>
      <c r="J192" s="7">
        <f t="shared" si="16"/>
        <v>0.33333333333333331</v>
      </c>
      <c r="K192" s="7">
        <f t="shared" si="16"/>
        <v>0</v>
      </c>
      <c r="L192" s="7">
        <f t="shared" si="16"/>
        <v>0</v>
      </c>
      <c r="M192" s="7">
        <f t="shared" si="16"/>
        <v>0</v>
      </c>
      <c r="N192" s="7">
        <f t="shared" si="16"/>
        <v>0</v>
      </c>
    </row>
    <row r="193" spans="1:12" x14ac:dyDescent="0.3">
      <c r="B193" s="50"/>
    </row>
    <row r="194" spans="1:12" x14ac:dyDescent="0.3">
      <c r="B194" s="18" t="s">
        <v>1407</v>
      </c>
    </row>
    <row r="195" spans="1:12" x14ac:dyDescent="0.3">
      <c r="B195" s="3"/>
      <c r="C195" s="11" t="s">
        <v>1210</v>
      </c>
      <c r="D195" s="11" t="s">
        <v>1209</v>
      </c>
      <c r="E195" s="114" t="s">
        <v>1206</v>
      </c>
    </row>
    <row r="196" spans="1:12" x14ac:dyDescent="0.3">
      <c r="B196" s="3" t="s">
        <v>1207</v>
      </c>
      <c r="C196" s="24">
        <f>COUNTIF('ALINDAO_Cleaned Data'!AJX:AJX,"OUI")</f>
        <v>0</v>
      </c>
      <c r="D196" s="24">
        <f>COUNTIF('ALINDAO_Cleaned Data'!AJX:AJX,"non")</f>
        <v>3</v>
      </c>
      <c r="E196" s="111">
        <f>SUM(C196:D196)</f>
        <v>3</v>
      </c>
    </row>
    <row r="197" spans="1:12" ht="37.5" x14ac:dyDescent="0.3">
      <c r="B197" s="53" t="s">
        <v>3286</v>
      </c>
      <c r="C197" s="7">
        <f>(C196/$B$181)</f>
        <v>0</v>
      </c>
      <c r="D197" s="7">
        <f>(D196/$B$181)</f>
        <v>1</v>
      </c>
      <c r="E197" s="7">
        <f>SUM(C197:D197)</f>
        <v>1</v>
      </c>
    </row>
    <row r="199" spans="1:12" x14ac:dyDescent="0.3">
      <c r="C199" s="18" t="s">
        <v>1270</v>
      </c>
      <c r="E199" s="103" t="s">
        <v>3245</v>
      </c>
    </row>
    <row r="200" spans="1:12" x14ac:dyDescent="0.3">
      <c r="C200" s="3"/>
      <c r="D200" s="11" t="s">
        <v>1271</v>
      </c>
      <c r="E200" s="11" t="s">
        <v>1272</v>
      </c>
      <c r="F200" s="11" t="s">
        <v>1273</v>
      </c>
      <c r="G200" s="11" t="s">
        <v>1274</v>
      </c>
      <c r="H200" s="11" t="s">
        <v>1205</v>
      </c>
    </row>
    <row r="201" spans="1:12" x14ac:dyDescent="0.3">
      <c r="C201" s="3" t="s">
        <v>1207</v>
      </c>
      <c r="D201" s="4">
        <f>COUNTIF('ALINDAO_Cleaned Data'!AJZ:AJZ,"1")</f>
        <v>2</v>
      </c>
      <c r="E201" s="4">
        <f>COUNTIF('ALINDAO_Cleaned Data'!AKA:AKA,"1")</f>
        <v>2</v>
      </c>
      <c r="F201" s="4">
        <f>COUNTIF('ALINDAO_Cleaned Data'!AKB:AKB,"1")</f>
        <v>1</v>
      </c>
      <c r="G201" s="4">
        <f>COUNTIF('ALINDAO_Cleaned Data'!AKC:AKC,"1")</f>
        <v>0</v>
      </c>
      <c r="H201" s="4">
        <f>COUNTIF('ALINDAO_Cleaned Data'!AKD:AKD,"1")</f>
        <v>0</v>
      </c>
    </row>
    <row r="202" spans="1:12" ht="49" x14ac:dyDescent="0.3">
      <c r="C202" s="53" t="s">
        <v>3287</v>
      </c>
      <c r="D202" s="7">
        <f>D201/$D$196</f>
        <v>0.66666666666666663</v>
      </c>
      <c r="E202" s="7">
        <f t="shared" ref="E202:H202" si="17">E201/$D$196</f>
        <v>0.66666666666666663</v>
      </c>
      <c r="F202" s="7">
        <f t="shared" si="17"/>
        <v>0.33333333333333331</v>
      </c>
      <c r="G202" s="7">
        <f t="shared" si="17"/>
        <v>0</v>
      </c>
      <c r="H202" s="7">
        <f t="shared" si="17"/>
        <v>0</v>
      </c>
    </row>
    <row r="204" spans="1:12" ht="15.5" x14ac:dyDescent="0.35">
      <c r="A204" s="9" t="s">
        <v>1301</v>
      </c>
      <c r="C204" s="103" t="s">
        <v>3245</v>
      </c>
    </row>
    <row r="206" spans="1:12" ht="70" x14ac:dyDescent="0.3">
      <c r="A206" s="8" t="s">
        <v>1534</v>
      </c>
      <c r="B206" s="8" t="s">
        <v>1535</v>
      </c>
      <c r="C206" s="8" t="s">
        <v>1985</v>
      </c>
      <c r="D206" s="8" t="s">
        <v>1536</v>
      </c>
      <c r="E206" s="8" t="s">
        <v>1986</v>
      </c>
      <c r="F206" s="8" t="s">
        <v>1987</v>
      </c>
      <c r="G206" s="8" t="s">
        <v>1988</v>
      </c>
      <c r="H206" s="8" t="s">
        <v>1526</v>
      </c>
      <c r="I206" s="8" t="s">
        <v>1527</v>
      </c>
      <c r="J206" s="8" t="s">
        <v>1525</v>
      </c>
      <c r="K206" s="8" t="s">
        <v>1905</v>
      </c>
      <c r="L206" s="8" t="s">
        <v>1205</v>
      </c>
    </row>
    <row r="207" spans="1:12" x14ac:dyDescent="0.3">
      <c r="A207" s="24">
        <f>COUNTIF('ALINDAO_Cleaned Data'!AKG:AKG,"1")</f>
        <v>6</v>
      </c>
      <c r="B207" s="24">
        <f>COUNTIF('ALINDAO_Cleaned Data'!AKH:AKH,"1")</f>
        <v>6</v>
      </c>
      <c r="C207" s="24">
        <f>COUNTIF('ALINDAO_Cleaned Data'!AKI:AKI,"1")</f>
        <v>5</v>
      </c>
      <c r="D207" s="24">
        <f>COUNTIF('ALINDAO_Cleaned Data'!AKJ:AKJ,"1")</f>
        <v>5</v>
      </c>
      <c r="E207" s="24">
        <f>COUNTIF('ALINDAO_Cleaned Data'!AKK:AKK,"1")</f>
        <v>5</v>
      </c>
      <c r="F207" s="24">
        <f>COUNTIF('ALINDAO_Cleaned Data'!AKL:AKL,"1")</f>
        <v>6</v>
      </c>
      <c r="G207" s="24">
        <f>COUNTIF('ALINDAO_Cleaned Data'!AKM:AKM,"1")</f>
        <v>5</v>
      </c>
      <c r="H207" s="24">
        <f>COUNTIF('ALINDAO_Cleaned Data'!AKN:AKN,"1")</f>
        <v>4</v>
      </c>
      <c r="I207" s="24">
        <f>COUNTIF('ALINDAO_Cleaned Data'!AKO:AKO,"1")</f>
        <v>4</v>
      </c>
      <c r="J207" s="24">
        <f>COUNTIF('ALINDAO_Cleaned Data'!AKP:AKP,"1")</f>
        <v>3</v>
      </c>
      <c r="K207" s="24">
        <f>COUNTIF('ALINDAO_Cleaned Data'!AKQ:AKQ,"1")</f>
        <v>0</v>
      </c>
      <c r="L207" s="24">
        <f>COUNTIF('ALINDAO_Cleaned Data'!AKR:AKR,"1")</f>
        <v>1</v>
      </c>
    </row>
    <row r="208" spans="1:12" x14ac:dyDescent="0.3">
      <c r="L208" s="74" t="s">
        <v>3345</v>
      </c>
    </row>
  </sheetData>
  <conditionalFormatting sqref="B53:L53">
    <cfRule type="colorScale" priority="43">
      <colorScale>
        <cfvo type="min"/>
        <cfvo type="max"/>
        <color theme="6" tint="0.79998168889431442"/>
        <color theme="5" tint="0.39997558519241921"/>
      </colorScale>
    </cfRule>
  </conditionalFormatting>
  <conditionalFormatting sqref="C112:F112">
    <cfRule type="colorScale" priority="42">
      <colorScale>
        <cfvo type="min"/>
        <cfvo type="max"/>
        <color theme="6" tint="0.79998168889431442"/>
        <color theme="5" tint="0.39997558519241921"/>
      </colorScale>
    </cfRule>
  </conditionalFormatting>
  <conditionalFormatting sqref="C117:I117">
    <cfRule type="colorScale" priority="41">
      <colorScale>
        <cfvo type="min"/>
        <cfvo type="max"/>
        <color theme="6" tint="0.79998168889431442"/>
        <color theme="5" tint="0.39997558519241921"/>
      </colorScale>
    </cfRule>
  </conditionalFormatting>
  <conditionalFormatting sqref="C122:J122">
    <cfRule type="colorScale" priority="40">
      <colorScale>
        <cfvo type="min"/>
        <cfvo type="max"/>
        <color theme="6" tint="0.79998168889431442"/>
        <color theme="5" tint="0.39997558519241921"/>
      </colorScale>
    </cfRule>
  </conditionalFormatting>
  <conditionalFormatting sqref="A164:F165">
    <cfRule type="colorScale" priority="44">
      <colorScale>
        <cfvo type="min"/>
        <cfvo type="max"/>
        <color theme="6" tint="0.79998168889431442"/>
        <color theme="5" tint="0.39997558519241921"/>
      </colorScale>
    </cfRule>
  </conditionalFormatting>
  <conditionalFormatting sqref="B168:F168">
    <cfRule type="colorScale" priority="39">
      <colorScale>
        <cfvo type="min"/>
        <cfvo type="max"/>
        <color theme="6" tint="0.79998168889431442"/>
        <color theme="5" tint="0.39997558519241921"/>
      </colorScale>
    </cfRule>
  </conditionalFormatting>
  <conditionalFormatting sqref="A173:J173">
    <cfRule type="colorScale" priority="45">
      <colorScale>
        <cfvo type="min"/>
        <cfvo type="max"/>
        <color theme="6" tint="0.79998168889431442"/>
        <color theme="5" tint="0.39997558519241921"/>
      </colorScale>
    </cfRule>
  </conditionalFormatting>
  <conditionalFormatting sqref="A177:M177">
    <cfRule type="colorScale" priority="38">
      <colorScale>
        <cfvo type="min"/>
        <cfvo type="max"/>
        <color theme="6" tint="0.79998168889431442"/>
        <color theme="5" tint="0.39997558519241921"/>
      </colorScale>
    </cfRule>
  </conditionalFormatting>
  <conditionalFormatting sqref="D201:H201">
    <cfRule type="colorScale" priority="37">
      <colorScale>
        <cfvo type="min"/>
        <cfvo type="max"/>
        <color theme="6" tint="0.79998168889431442"/>
        <color theme="5" tint="0.39997558519241921"/>
      </colorScale>
    </cfRule>
  </conditionalFormatting>
  <conditionalFormatting sqref="A207:L207">
    <cfRule type="colorScale" priority="36">
      <colorScale>
        <cfvo type="min"/>
        <cfvo type="max"/>
        <color theme="6" tint="0.79998168889431442"/>
        <color theme="5" tint="0.39997558519241921"/>
      </colorScale>
    </cfRule>
  </conditionalFormatting>
  <conditionalFormatting sqref="C191:N191">
    <cfRule type="colorScale" priority="35">
      <colorScale>
        <cfvo type="min"/>
        <cfvo type="max"/>
        <color theme="6" tint="0.79998168889431442"/>
        <color theme="5" tint="0.39997558519241921"/>
      </colorScale>
    </cfRule>
  </conditionalFormatting>
  <conditionalFormatting sqref="B7:E7">
    <cfRule type="colorScale" priority="34">
      <colorScale>
        <cfvo type="min"/>
        <cfvo type="max"/>
        <color theme="6" tint="0.79998168889431442"/>
        <color theme="5" tint="0.39997558519241921"/>
      </colorScale>
    </cfRule>
  </conditionalFormatting>
  <conditionalFormatting sqref="B18:D18">
    <cfRule type="colorScale" priority="33">
      <colorScale>
        <cfvo type="min"/>
        <cfvo type="max"/>
        <color theme="6" tint="0.79998168889431442"/>
        <color theme="5" tint="0.39997558519241921"/>
      </colorScale>
    </cfRule>
  </conditionalFormatting>
  <conditionalFormatting sqref="B23:D23">
    <cfRule type="colorScale" priority="32">
      <colorScale>
        <cfvo type="min"/>
        <cfvo type="max"/>
        <color theme="6" tint="0.79998168889431442"/>
        <color theme="5" tint="0.39997558519241921"/>
      </colorScale>
    </cfRule>
  </conditionalFormatting>
  <conditionalFormatting sqref="C28:K28">
    <cfRule type="colorScale" priority="31">
      <colorScale>
        <cfvo type="min"/>
        <cfvo type="max"/>
        <color theme="6" tint="0.79998168889431442"/>
        <color theme="5" tint="0.39997558519241921"/>
      </colorScale>
    </cfRule>
  </conditionalFormatting>
  <conditionalFormatting sqref="C38:J38">
    <cfRule type="colorScale" priority="30">
      <colorScale>
        <cfvo type="min"/>
        <cfvo type="max"/>
        <color theme="6" tint="0.79998168889431442"/>
        <color theme="5" tint="0.39997558519241921"/>
      </colorScale>
    </cfRule>
  </conditionalFormatting>
  <conditionalFormatting sqref="C33:G33">
    <cfRule type="colorScale" priority="29">
      <colorScale>
        <cfvo type="min"/>
        <cfvo type="max"/>
        <color theme="6" tint="0.79998168889431442"/>
        <color theme="5" tint="0.39997558519241921"/>
      </colorScale>
    </cfRule>
  </conditionalFormatting>
  <conditionalFormatting sqref="C43:G43">
    <cfRule type="colorScale" priority="28">
      <colorScale>
        <cfvo type="min"/>
        <cfvo type="max"/>
        <color theme="6" tint="0.79998168889431442"/>
        <color theme="5" tint="0.39997558519241921"/>
      </colorScale>
    </cfRule>
  </conditionalFormatting>
  <conditionalFormatting sqref="B48:H48">
    <cfRule type="colorScale" priority="27">
      <colorScale>
        <cfvo type="min"/>
        <cfvo type="max"/>
        <color theme="6" tint="0.79998168889431442"/>
        <color theme="5" tint="0.39997558519241921"/>
      </colorScale>
    </cfRule>
  </conditionalFormatting>
  <conditionalFormatting sqref="B58:C58">
    <cfRule type="colorScale" priority="26">
      <colorScale>
        <cfvo type="min"/>
        <cfvo type="max"/>
        <color theme="6" tint="0.79998168889431442"/>
        <color theme="5" tint="0.39997558519241921"/>
      </colorScale>
    </cfRule>
  </conditionalFormatting>
  <conditionalFormatting sqref="C66:D66">
    <cfRule type="colorScale" priority="25">
      <colorScale>
        <cfvo type="min"/>
        <cfvo type="max"/>
        <color theme="6" tint="0.79998168889431442"/>
        <color theme="5" tint="0.39997558519241921"/>
      </colorScale>
    </cfRule>
  </conditionalFormatting>
  <conditionalFormatting sqref="C76:D76">
    <cfRule type="colorScale" priority="24">
      <colorScale>
        <cfvo type="min"/>
        <cfvo type="max"/>
        <color theme="6" tint="0.79998168889431442"/>
        <color theme="5" tint="0.39997558519241921"/>
      </colorScale>
    </cfRule>
  </conditionalFormatting>
  <conditionalFormatting sqref="B81:C81">
    <cfRule type="colorScale" priority="23">
      <colorScale>
        <cfvo type="min"/>
        <cfvo type="max"/>
        <color theme="6" tint="0.79998168889431442"/>
        <color theme="5" tint="0.39997558519241921"/>
      </colorScale>
    </cfRule>
  </conditionalFormatting>
  <conditionalFormatting sqref="B148:C148">
    <cfRule type="colorScale" priority="22">
      <colorScale>
        <cfvo type="min"/>
        <cfvo type="max"/>
        <color theme="6" tint="0.79998168889431442"/>
        <color theme="5" tint="0.39997558519241921"/>
      </colorScale>
    </cfRule>
  </conditionalFormatting>
  <conditionalFormatting sqref="B107:C107">
    <cfRule type="colorScale" priority="21">
      <colorScale>
        <cfvo type="min"/>
        <cfvo type="max"/>
        <color theme="6" tint="0.79998168889431442"/>
        <color theme="5" tint="0.39997558519241921"/>
      </colorScale>
    </cfRule>
  </conditionalFormatting>
  <conditionalFormatting sqref="B136:D136">
    <cfRule type="colorScale" priority="20">
      <colorScale>
        <cfvo type="min"/>
        <cfvo type="max"/>
        <color theme="6" tint="0.79998168889431442"/>
        <color theme="5" tint="0.39997558519241921"/>
      </colorScale>
    </cfRule>
  </conditionalFormatting>
  <conditionalFormatting sqref="B141:D141">
    <cfRule type="colorScale" priority="19">
      <colorScale>
        <cfvo type="min"/>
        <cfvo type="max"/>
        <color theme="6" tint="0.79998168889431442"/>
        <color theme="5" tint="0.39997558519241921"/>
      </colorScale>
    </cfRule>
  </conditionalFormatting>
  <conditionalFormatting sqref="B153:C153">
    <cfRule type="colorScale" priority="18">
      <colorScale>
        <cfvo type="min"/>
        <cfvo type="max"/>
        <color theme="6" tint="0.79998168889431442"/>
        <color theme="5" tint="0.39997558519241921"/>
      </colorScale>
    </cfRule>
  </conditionalFormatting>
  <conditionalFormatting sqref="F158:G158">
    <cfRule type="colorScale" priority="17">
      <colorScale>
        <cfvo type="min"/>
        <cfvo type="max"/>
        <color theme="6" tint="0.79998168889431442"/>
        <color theme="5" tint="0.39997558519241921"/>
      </colorScale>
    </cfRule>
  </conditionalFormatting>
  <conditionalFormatting sqref="B181:C181">
    <cfRule type="colorScale" priority="16">
      <colorScale>
        <cfvo type="min"/>
        <cfvo type="max"/>
        <color theme="6" tint="0.79998168889431442"/>
        <color theme="5" tint="0.39997558519241921"/>
      </colorScale>
    </cfRule>
  </conditionalFormatting>
  <conditionalFormatting sqref="C186:I186">
    <cfRule type="colorScale" priority="15">
      <colorScale>
        <cfvo type="min"/>
        <cfvo type="max"/>
        <color theme="6" tint="0.79998168889431442"/>
        <color theme="5" tint="0.39997558519241921"/>
      </colorScale>
    </cfRule>
  </conditionalFormatting>
  <conditionalFormatting sqref="C196:D196">
    <cfRule type="colorScale" priority="14">
      <colorScale>
        <cfvo type="min"/>
        <cfvo type="max"/>
        <color theme="6" tint="0.79998168889431442"/>
        <color theme="5" tint="0.39997558519241921"/>
      </colorScale>
    </cfRule>
  </conditionalFormatting>
  <conditionalFormatting sqref="B12:F12">
    <cfRule type="colorScale" priority="13">
      <colorScale>
        <cfvo type="min"/>
        <cfvo type="max"/>
        <color theme="6" tint="0.79998168889431442"/>
        <color theme="5" tint="0.39997558519241921"/>
      </colorScale>
    </cfRule>
  </conditionalFormatting>
  <conditionalFormatting sqref="D148">
    <cfRule type="colorScale" priority="12">
      <colorScale>
        <cfvo type="min"/>
        <cfvo type="max"/>
        <color theme="6" tint="0.79998168889431442"/>
        <color theme="5" tint="0.39997558519241921"/>
      </colorScale>
    </cfRule>
  </conditionalFormatting>
  <conditionalFormatting sqref="C86:K86">
    <cfRule type="colorScale" priority="2">
      <colorScale>
        <cfvo type="min"/>
        <cfvo type="max"/>
        <color theme="6" tint="0.79998168889431442"/>
        <color theme="5" tint="0.39997558519241921"/>
      </colorScale>
    </cfRule>
  </conditionalFormatting>
  <conditionalFormatting sqref="D10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P156"/>
  <sheetViews>
    <sheetView zoomScale="90" zoomScaleNormal="90" workbookViewId="0">
      <selection activeCell="C92" sqref="C92"/>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COUNTIFS('ALINDAO_Cleaned Data'!N:N,"marche",'ALINDAO_Cleaned Data'!J:J,"ALINDAO")</f>
        <v>2</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COUNTIF('ALINDAO_Cleaned Data'!AKU:AKU,"oui")</f>
        <v>2</v>
      </c>
      <c r="C7" s="24">
        <f>COUNTIF('ALINDAO_Cleaned Data'!AKU:AKU,"non")</f>
        <v>0</v>
      </c>
      <c r="D7" s="24">
        <f>COUNTIF('ALINDAO_Cleaned Data'!AKU:AKU,"partiel")</f>
        <v>0</v>
      </c>
      <c r="E7" s="62">
        <f>SUM(B7+D7)</f>
        <v>2</v>
      </c>
    </row>
    <row r="8" spans="1:10" ht="26" x14ac:dyDescent="0.3">
      <c r="A8" s="121" t="s">
        <v>3316</v>
      </c>
      <c r="B8" s="39">
        <f>(B7/$E$7)</f>
        <v>1</v>
      </c>
      <c r="C8" s="39">
        <f>(C7/$E$7)</f>
        <v>0</v>
      </c>
      <c r="D8" s="38">
        <f>COUNTIF('ALINDAO_Cleaned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COUNTIF('ALINDAO_Cleaned Data'!ALF:ALF,"oui")</f>
        <v>0</v>
      </c>
      <c r="C12" s="24">
        <f>COUNTIF('ALINDAO_Cleaned Data'!ALF:ALF,"non")</f>
        <v>2</v>
      </c>
      <c r="D12" s="25">
        <f>SUM(B12:C12)</f>
        <v>2</v>
      </c>
    </row>
    <row r="13" spans="1:10" ht="26" x14ac:dyDescent="0.3">
      <c r="A13" s="121" t="s">
        <v>3316</v>
      </c>
      <c r="B13" s="39">
        <f>(B12/$B$3)</f>
        <v>0</v>
      </c>
      <c r="C13" s="39">
        <f>(C12/$B$3)</f>
        <v>1</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COUNTIF('ALINDAO_Cleaned Data'!ALG:ALG,"oui")</f>
        <v>2</v>
      </c>
      <c r="D17" s="24">
        <f>COUNTIF('ALINDAO_Cleaned Data'!ALG:ALG,"non")</f>
        <v>0</v>
      </c>
      <c r="E17" s="25">
        <f>SUM(C17:D17)</f>
        <v>2</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COUNTIF('ALINDAO_Cleaned Data'!ALO:ALO,"1")</f>
        <v>2</v>
      </c>
      <c r="C22" s="24">
        <f>COUNTIF('ALINDAO_Cleaned Data'!ALP:ALP,"1")</f>
        <v>2</v>
      </c>
      <c r="D22" s="24">
        <f>COUNTIF('ALINDAO_Cleaned Data'!ALQ:ALQ,"1")</f>
        <v>2</v>
      </c>
      <c r="E22" s="24">
        <f>COUNTIF('ALINDAO_Cleaned Data'!ALR:ALR,"1")</f>
        <v>1</v>
      </c>
      <c r="F22" s="24">
        <f>COUNTIF('ALINDAO_Cleaned Data'!ALS:ALS,"1")</f>
        <v>1</v>
      </c>
      <c r="G22" s="24">
        <f>COUNTIF('ALINDAO_Cleaned Data'!ALT:ALT,"1")</f>
        <v>1</v>
      </c>
      <c r="H22" s="24">
        <f>COUNTIF('ALINDAO_Cleaned Data'!ALU:ALU,"1")</f>
        <v>1</v>
      </c>
      <c r="I22" s="24">
        <f>COUNTIF('ALINDAO_Cleaned Data'!ALV:ALV,"1")</f>
        <v>0</v>
      </c>
    </row>
    <row r="23" spans="1:10" ht="26" x14ac:dyDescent="0.3">
      <c r="A23" s="121" t="s">
        <v>3319</v>
      </c>
      <c r="B23" s="39">
        <f>B22/$E$7</f>
        <v>1</v>
      </c>
      <c r="C23" s="39">
        <f t="shared" ref="C23:I23" si="0">C22/$E$7</f>
        <v>1</v>
      </c>
      <c r="D23" s="39">
        <f t="shared" si="0"/>
        <v>1</v>
      </c>
      <c r="E23" s="39">
        <f t="shared" si="0"/>
        <v>0.5</v>
      </c>
      <c r="F23" s="39">
        <f t="shared" si="0"/>
        <v>0.5</v>
      </c>
      <c r="G23" s="39">
        <f t="shared" si="0"/>
        <v>0.5</v>
      </c>
      <c r="H23" s="39">
        <f t="shared" si="0"/>
        <v>0.5</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IF('ALINDAO_Cleaned Data'!AMW:AMW&lt;999,AVERAGE('ALINDAO_Cleaned Data'!AMW:AMW))</f>
        <v>165</v>
      </c>
    </row>
    <row r="28" spans="1:10" ht="15.5" x14ac:dyDescent="0.35">
      <c r="A28" s="29" t="s">
        <v>1999</v>
      </c>
    </row>
    <row r="29" spans="1:10" x14ac:dyDescent="0.3">
      <c r="A29" s="24"/>
      <c r="B29" s="8" t="s">
        <v>1210</v>
      </c>
      <c r="C29" s="8" t="s">
        <v>1209</v>
      </c>
      <c r="D29" s="127" t="s">
        <v>1206</v>
      </c>
    </row>
    <row r="30" spans="1:10" x14ac:dyDescent="0.3">
      <c r="A30" s="24" t="s">
        <v>1207</v>
      </c>
      <c r="B30" s="24">
        <f>COUNTIF('ALINDAO_Cleaned Data'!AMX:AMX,"oui")</f>
        <v>2</v>
      </c>
      <c r="C30" s="24">
        <f>COUNTIF('ALINDAO_Cleaned Data'!AMX:AMX,"non")</f>
        <v>0</v>
      </c>
      <c r="D30" s="25">
        <f>SUM(B30:C30)</f>
        <v>2</v>
      </c>
    </row>
    <row r="31" spans="1:10" ht="26" x14ac:dyDescent="0.3">
      <c r="A31" s="121" t="s">
        <v>3319</v>
      </c>
      <c r="B31" s="39">
        <f>(B30/$E$7)</f>
        <v>1</v>
      </c>
      <c r="C31" s="39">
        <f>(C30/$E$7)</f>
        <v>0</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COUNTIF('ALINDAO_Cleaned Data'!AMY:AMY,"peu_diminue")</f>
        <v>1</v>
      </c>
      <c r="D35" s="24">
        <f>COUNTIF('ALINDAO_Cleaned Data'!AMY:AMY,"bcp_diminue")</f>
        <v>0</v>
      </c>
      <c r="E35" s="24">
        <f>COUNTIF('ALINDAO_Cleaned Data'!AMY:AMY,"peu_augmente")</f>
        <v>0</v>
      </c>
      <c r="F35" s="24">
        <f>COUNTIF('ALINDAO_Cleaned Data'!AMY:AMY,"bcp_augmente")</f>
        <v>1</v>
      </c>
      <c r="G35" s="25">
        <f>SUM(C35:F35)</f>
        <v>2</v>
      </c>
    </row>
    <row r="36" spans="1:13" ht="49" x14ac:dyDescent="0.3">
      <c r="B36" s="121" t="s">
        <v>3320</v>
      </c>
      <c r="C36" s="39">
        <f>C35/$B$30</f>
        <v>0.5</v>
      </c>
      <c r="D36" s="39">
        <f t="shared" ref="D36:F36" si="1">D35/$B$30</f>
        <v>0</v>
      </c>
      <c r="E36" s="39">
        <f t="shared" si="1"/>
        <v>0</v>
      </c>
      <c r="F36" s="39">
        <f t="shared" si="1"/>
        <v>0.5</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COUNTIF('ALINDAO_Cleaned Data'!ANL:ANL,"1")</f>
        <v>1</v>
      </c>
      <c r="D40" s="24">
        <f>COUNTIF('ALINDAO_Cleaned Data'!ANM:ANM,"1")</f>
        <v>0</v>
      </c>
      <c r="E40" s="24">
        <f>COUNTIF('ALINDAO_Cleaned Data'!ANN:ANN,"1")</f>
        <v>0</v>
      </c>
      <c r="F40" s="24">
        <f>COUNTIF('ALINDAO_Cleaned Data'!ANO:ANO,"1")</f>
        <v>0</v>
      </c>
      <c r="G40" s="24">
        <f>COUNTIF('ALINDAO_Cleaned Data'!ANP:ANP,"1")</f>
        <v>1</v>
      </c>
      <c r="H40" s="24">
        <f>COUNTIF('ALINDAO_Cleaned Data'!ANV:ANV,"1")</f>
        <v>0</v>
      </c>
      <c r="I40" s="24">
        <f>COUNTIF('ALINDAO_Cleaned Data'!ANQ:ANQ,"1")</f>
        <v>1</v>
      </c>
      <c r="J40" s="24">
        <f>COUNTIF('ALINDAO_Cleaned Data'!ANR:ANR,"1")</f>
        <v>0</v>
      </c>
      <c r="K40" s="24">
        <f>COUNTIF('ALINDAO_Cleaned Data'!ANS:ANS,"1")</f>
        <v>1</v>
      </c>
      <c r="L40" s="24">
        <f>COUNTIF('ALINDAO_Cleaned Data'!ANT:ANT,"1")</f>
        <v>0</v>
      </c>
      <c r="M40" s="24">
        <f>COUNTIF('ALINDAO_Cleaned Data'!ANU:ANU,"1")</f>
        <v>0</v>
      </c>
    </row>
    <row r="41" spans="1:13" ht="49" x14ac:dyDescent="0.3">
      <c r="B41" s="121" t="s">
        <v>3321</v>
      </c>
      <c r="C41" s="39">
        <f>C40/(C35+D35)</f>
        <v>1</v>
      </c>
      <c r="D41" s="39">
        <f>D40/(C35+D35)</f>
        <v>0</v>
      </c>
      <c r="E41" s="39">
        <f>E40/(C35+D35)</f>
        <v>0</v>
      </c>
      <c r="F41" s="39">
        <f>F40/(C35+D35)</f>
        <v>0</v>
      </c>
      <c r="G41" s="39">
        <f>G40/(C35+D35)</f>
        <v>1</v>
      </c>
      <c r="H41" s="39">
        <f>H40/(C35+D35)</f>
        <v>0</v>
      </c>
      <c r="I41" s="39">
        <f>I40/(C35+D35)</f>
        <v>1</v>
      </c>
      <c r="J41" s="39">
        <f>J40/(C35+D35)</f>
        <v>0</v>
      </c>
      <c r="K41" s="39">
        <f>K40/(C35+D35)</f>
        <v>1</v>
      </c>
      <c r="L41" s="39">
        <f>L40/(C35+D35)</f>
        <v>0</v>
      </c>
      <c r="M41" s="39">
        <f>M40/(C35+D35)</f>
        <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COUNTIF('ALINDAO_Cleaned Data'!ANA:ANA,"1")</f>
        <v>1</v>
      </c>
      <c r="D45" s="24">
        <f>COUNTIF('ALINDAO_Cleaned Data'!ANB:ANB,"1")</f>
        <v>1</v>
      </c>
      <c r="E45" s="24">
        <f>COUNTIF('ALINDAO_Cleaned Data'!ANC:ANC,"1")</f>
        <v>1</v>
      </c>
      <c r="F45" s="24">
        <f>COUNTIF('ALINDAO_Cleaned Data'!AND:AND,"1")</f>
        <v>1</v>
      </c>
      <c r="G45" s="24">
        <f>COUNTIF('ALINDAO_Cleaned Data'!ANE:ANE,"1")</f>
        <v>1</v>
      </c>
      <c r="H45" s="24">
        <f>COUNTIF('ALINDAO_Cleaned Data'!ANF:ANF,"1")</f>
        <v>1</v>
      </c>
      <c r="I45" s="24">
        <f>COUNTIF('ALINDAO_Cleaned Data'!ANG:ANG,"1")</f>
        <v>0</v>
      </c>
      <c r="J45" s="24">
        <f>COUNTIF('ALINDAO_Cleaned Data'!ANH:ANH,"1")</f>
        <v>0</v>
      </c>
      <c r="K45" s="24">
        <f>COUNTIF('ALINDAO_Cleaned Data'!ANI:ANI,"1")</f>
        <v>0</v>
      </c>
      <c r="L45" s="41"/>
      <c r="M45" s="41"/>
    </row>
    <row r="46" spans="1:13" ht="49" x14ac:dyDescent="0.3">
      <c r="B46" s="121" t="s">
        <v>3322</v>
      </c>
      <c r="C46" s="39">
        <f>C45/(E35+F35)</f>
        <v>1</v>
      </c>
      <c r="D46" s="39">
        <f>D45/(E35+F35)</f>
        <v>1</v>
      </c>
      <c r="E46" s="39">
        <f>E45/(E35+F35)</f>
        <v>1</v>
      </c>
      <c r="F46" s="39">
        <f>F45/(E35+F35)</f>
        <v>1</v>
      </c>
      <c r="G46" s="39">
        <f>G45/(E35+F35)</f>
        <v>1</v>
      </c>
      <c r="H46" s="39">
        <f>H45/(E35+F35)</f>
        <v>1</v>
      </c>
      <c r="I46" s="39">
        <f>I45/(E35+F35)</f>
        <v>0</v>
      </c>
      <c r="J46" s="39">
        <f>J45/(E35+F35)</f>
        <v>0</v>
      </c>
      <c r="K46" s="39">
        <f>K45/(E35+F35)</f>
        <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COUNTIF('ALINDAO_Cleaned Data'!ANX:ANX,"oui")</f>
        <v>1</v>
      </c>
      <c r="C50" s="24">
        <f>COUNTIF('ALINDAO_Cleaned Data'!ANX:ANX,"non")</f>
        <v>1</v>
      </c>
      <c r="D50" s="25">
        <f>SUM(B50:C50)</f>
        <v>2</v>
      </c>
    </row>
    <row r="51" spans="1:12" ht="26" x14ac:dyDescent="0.3">
      <c r="A51" s="121" t="s">
        <v>3319</v>
      </c>
      <c r="B51" s="39">
        <f>(B50/$E$7)</f>
        <v>0.5</v>
      </c>
      <c r="C51" s="39">
        <f>(C50/$E$7)</f>
        <v>0.5</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COUNTIF('ALINDAO_Cleaned Data'!ARH:ARH,"1")</f>
        <v>0</v>
      </c>
      <c r="C55" s="38">
        <f>COUNTIF('ALINDAO_Cleaned Data'!ARI:ARI,"1")</f>
        <v>1</v>
      </c>
      <c r="D55" s="38">
        <f>COUNTIF('ALINDAO_Cleaned Data'!ARJ:ARJ,"1")</f>
        <v>1</v>
      </c>
      <c r="E55" s="38">
        <f>COUNTIF('ALINDAO_Cleaned Data'!ARQ:ARQ,"1")</f>
        <v>0</v>
      </c>
      <c r="F55" s="38">
        <f>COUNTIF('ALINDAO_Cleaned Data'!ARR:ARR,"1")</f>
        <v>0</v>
      </c>
      <c r="G55" s="38">
        <f>COUNTIF('ALINDAO_Cleaned Data'!ARK:ARK,"1")</f>
        <v>1</v>
      </c>
      <c r="H55" s="38">
        <f>COUNTIF('ALINDAO_Cleaned Data'!ARL:ARL,"1")</f>
        <v>0</v>
      </c>
      <c r="I55" s="38">
        <f>COUNTIF('ALINDAO_Cleaned Data'!ARM:ARM,"1")</f>
        <v>0</v>
      </c>
      <c r="J55" s="38">
        <f>COUNTIF('ALINDAO_Cleaned Data'!ARS:ARS,"1")</f>
        <v>0</v>
      </c>
      <c r="K55" s="38">
        <f>COUNTIF('ALINDAO_Cleaned Data'!ARO:ARO,"1")</f>
        <v>0</v>
      </c>
      <c r="L55" s="38">
        <f>COUNTIF('ALINDAO_Cleaned Data'!ARP:ARP,"1")</f>
        <v>0</v>
      </c>
    </row>
    <row r="56" spans="1:12" ht="26" x14ac:dyDescent="0.3">
      <c r="A56" s="121" t="s">
        <v>3316</v>
      </c>
      <c r="B56" s="39">
        <f t="shared" ref="B56:L56" si="2">B55/$B$3</f>
        <v>0</v>
      </c>
      <c r="C56" s="39">
        <f t="shared" si="2"/>
        <v>0.5</v>
      </c>
      <c r="D56" s="39">
        <f t="shared" si="2"/>
        <v>0.5</v>
      </c>
      <c r="E56" s="39">
        <f t="shared" si="2"/>
        <v>0</v>
      </c>
      <c r="F56" s="39">
        <f t="shared" si="2"/>
        <v>0</v>
      </c>
      <c r="G56" s="39">
        <f t="shared" si="2"/>
        <v>0.5</v>
      </c>
      <c r="H56" s="39">
        <f t="shared" si="2"/>
        <v>0</v>
      </c>
      <c r="I56" s="39">
        <f t="shared" si="2"/>
        <v>0</v>
      </c>
      <c r="J56" s="39">
        <f t="shared" si="2"/>
        <v>0</v>
      </c>
      <c r="K56" s="39">
        <f t="shared" si="2"/>
        <v>0</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COUNTIF('ALINDAO_Cleaned Data'!AOA:AOA,"1")</f>
        <v>2</v>
      </c>
      <c r="C61" s="24">
        <f>COUNTIF('ALINDAO_Cleaned Data'!AOB:AOB,"1")</f>
        <v>1</v>
      </c>
      <c r="D61" s="24">
        <f>COUNTIF('ALINDAO_Cleaned Data'!AOC:AOC,"1")</f>
        <v>1</v>
      </c>
      <c r="E61" s="24">
        <f>COUNTIF('ALINDAO_Cleaned Data'!AOD:AOD,"1")</f>
        <v>1</v>
      </c>
      <c r="F61" s="24">
        <f>COUNTIF('ALINDAO_Cleaned Data'!AOE:AOE,"1")</f>
        <v>0</v>
      </c>
      <c r="G61" s="24">
        <f>COUNTIF('ALINDAO_Cleaned Data'!AOF:AOF,"1")</f>
        <v>0</v>
      </c>
      <c r="H61" s="24">
        <f>COUNTIF('ALINDAO_Cleaned Data'!AOG:AOG,"1")</f>
        <v>0</v>
      </c>
      <c r="I61" s="24">
        <f>COUNTIF('ALINDAO_Cleaned Data'!AOH:AOH,"1")</f>
        <v>0</v>
      </c>
      <c r="J61" s="14"/>
    </row>
    <row r="62" spans="1:12" ht="26" x14ac:dyDescent="0.3">
      <c r="A62" s="121" t="s">
        <v>3319</v>
      </c>
      <c r="B62" s="39">
        <f>B61/$E$7</f>
        <v>1</v>
      </c>
      <c r="C62" s="39">
        <f t="shared" ref="C62:I62" si="3">C61/$E$7</f>
        <v>0.5</v>
      </c>
      <c r="D62" s="39">
        <f t="shared" si="3"/>
        <v>0.5</v>
      </c>
      <c r="E62" s="39">
        <f t="shared" si="3"/>
        <v>0.5</v>
      </c>
      <c r="F62" s="39">
        <f t="shared" si="3"/>
        <v>0</v>
      </c>
      <c r="G62" s="39">
        <f t="shared" si="3"/>
        <v>0</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COUNTIF('ALINDAO_Cleaned Data'!AOL:AOL,"local")</f>
        <v>2</v>
      </c>
      <c r="D66" s="24">
        <f>COUNTIF('ALINDAO_Cleaned Data'!AOM:AOM,"local")</f>
        <v>0</v>
      </c>
      <c r="E66" s="24">
        <f>COUNTIF('ALINDAO_Cleaned Data'!AON:AON,"local")</f>
        <v>0</v>
      </c>
      <c r="F66" s="24">
        <f>COUNTIF('ALINDAO_Cleaned Data'!AOO:AOO,"local")</f>
        <v>0</v>
      </c>
      <c r="G66" s="24">
        <f>COUNTIF('ALINDAO_Cleaned Data'!AOP:AOP,"local")</f>
        <v>0</v>
      </c>
      <c r="H66" s="24">
        <f>COUNTIF('ALINDAO_Cleaned Data'!AOQ:AOQ,"local")</f>
        <v>0</v>
      </c>
      <c r="I66" s="25">
        <f>SUM(C66:H66)</f>
        <v>2</v>
      </c>
    </row>
    <row r="67" spans="1:9" ht="37.5" x14ac:dyDescent="0.3">
      <c r="B67" s="121" t="s">
        <v>3319</v>
      </c>
      <c r="C67" s="39">
        <f>C66/$E$7</f>
        <v>1</v>
      </c>
      <c r="D67" s="39">
        <f t="shared" ref="D67" si="4">D66/$E$7</f>
        <v>0</v>
      </c>
      <c r="E67" s="39">
        <f t="shared" ref="E67" si="5">E66/$E$7</f>
        <v>0</v>
      </c>
      <c r="F67" s="39">
        <f t="shared" ref="F67" si="6">F66/$E$7</f>
        <v>0</v>
      </c>
      <c r="G67" s="39">
        <f t="shared" ref="G67" si="7">G66/$E$7</f>
        <v>0</v>
      </c>
      <c r="H67" s="39">
        <f t="shared" ref="H67" si="8">H66/$E$7</f>
        <v>0</v>
      </c>
      <c r="I67" s="128">
        <f>SUM(C67:H67)</f>
        <v>1</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COUNTIF('ALINDAO_Cleaned Data'!AOJ:AOJ,"hebdo")</f>
        <v>1</v>
      </c>
      <c r="D71" s="24">
        <f>COUNTIF('ALINDAO_Cleaned Data'!AOJ:AOJ,"mensuel")</f>
        <v>1</v>
      </c>
      <c r="E71" s="24">
        <f>COUNTIF('ALINDAO_Cleaned Data'!AOJ:AOJ,"trimestriel")</f>
        <v>0</v>
      </c>
      <c r="F71" s="24">
        <f>COUNTIF('ALINDAO_Cleaned Data'!AOJ:AOJ,"nsp")</f>
        <v>0</v>
      </c>
      <c r="G71" s="24">
        <f>COUNTIF('ALINDAO_Cleaned Data'!AOJ:AOJ,"autre")</f>
        <v>0</v>
      </c>
      <c r="H71" s="25">
        <f>SUM(C71:G71)</f>
        <v>2</v>
      </c>
    </row>
    <row r="72" spans="1:9" ht="37.5" x14ac:dyDescent="0.3">
      <c r="B72" s="121" t="s">
        <v>3319</v>
      </c>
      <c r="C72" s="39">
        <f>C71/$E$7</f>
        <v>0.5</v>
      </c>
      <c r="D72" s="39">
        <f t="shared" ref="D72:G72" si="9">D71/$E$7</f>
        <v>0.5</v>
      </c>
      <c r="E72" s="39">
        <f t="shared" si="9"/>
        <v>0</v>
      </c>
      <c r="F72" s="39">
        <f t="shared" si="9"/>
        <v>0</v>
      </c>
      <c r="G72" s="39">
        <f t="shared" si="9"/>
        <v>0</v>
      </c>
      <c r="H72" s="128">
        <f>SUM(C72:G72)</f>
        <v>1</v>
      </c>
    </row>
    <row r="73" spans="1:9" x14ac:dyDescent="0.3">
      <c r="F73" s="74"/>
    </row>
    <row r="74" spans="1:9" ht="15.5" x14ac:dyDescent="0.35">
      <c r="A74" s="29" t="s">
        <v>3324</v>
      </c>
      <c r="C74" s="103" t="s">
        <v>3245</v>
      </c>
    </row>
    <row r="75" spans="1:9" ht="70" x14ac:dyDescent="0.3">
      <c r="A75" s="24"/>
      <c r="B75" s="35" t="s">
        <v>1355</v>
      </c>
      <c r="C75" s="35" t="s">
        <v>1356</v>
      </c>
      <c r="D75" s="35" t="s">
        <v>1352</v>
      </c>
      <c r="E75" s="35" t="s">
        <v>1353</v>
      </c>
      <c r="F75" s="35" t="s">
        <v>1354</v>
      </c>
      <c r="G75" s="35" t="s">
        <v>1357</v>
      </c>
      <c r="H75" s="35" t="s">
        <v>1905</v>
      </c>
      <c r="I75" s="35" t="s">
        <v>1220</v>
      </c>
    </row>
    <row r="76" spans="1:9" x14ac:dyDescent="0.3">
      <c r="A76" s="24" t="s">
        <v>1207</v>
      </c>
      <c r="B76" s="24">
        <f>COUNTIF('ALINDAO_Cleaned Data'!AOP:AOP,"1")</f>
        <v>2</v>
      </c>
      <c r="C76" s="24">
        <f>COUNTIF('ALINDAO_Cleaned Data'!AOQ:AOQ,"1")</f>
        <v>2</v>
      </c>
      <c r="D76" s="24">
        <f>COUNTIF('ALINDAO_Cleaned Data'!AOR:AOR,"1")</f>
        <v>1</v>
      </c>
      <c r="E76" s="24">
        <f>COUNTIF('ALINDAO_Cleaned Data'!AOS:AOS,"1")</f>
        <v>0</v>
      </c>
      <c r="F76" s="24">
        <f>COUNTIF('ALINDAO_Cleaned Data'!AOT:AOT,"1")</f>
        <v>0</v>
      </c>
      <c r="G76" s="24">
        <f>COUNTIF('ALINDAO_Cleaned Data'!AOU:AOU,"1")</f>
        <v>1</v>
      </c>
      <c r="H76" s="24">
        <f>COUNTIF('ALINDAO_Cleaned Data'!AOV:AOV,"1")</f>
        <v>0</v>
      </c>
      <c r="I76" s="24">
        <f>COUNTIF('ALINDAO_Cleaned Data'!AOW:AOW,"1")</f>
        <v>0</v>
      </c>
    </row>
    <row r="77" spans="1:9" ht="26" x14ac:dyDescent="0.3">
      <c r="A77" s="121" t="s">
        <v>3319</v>
      </c>
      <c r="B77" s="39">
        <f>B76/$E$7</f>
        <v>1</v>
      </c>
      <c r="C77" s="39">
        <f t="shared" ref="C77:I77" si="10">C76/$E$7</f>
        <v>1</v>
      </c>
      <c r="D77" s="39">
        <f t="shared" si="10"/>
        <v>0.5</v>
      </c>
      <c r="E77" s="39">
        <f t="shared" si="10"/>
        <v>0</v>
      </c>
      <c r="F77" s="39">
        <f t="shared" si="10"/>
        <v>0</v>
      </c>
      <c r="G77" s="39">
        <f t="shared" si="10"/>
        <v>0.5</v>
      </c>
      <c r="H77" s="39">
        <f t="shared" si="10"/>
        <v>0</v>
      </c>
      <c r="I77" s="39">
        <f t="shared" si="10"/>
        <v>0</v>
      </c>
    </row>
    <row r="78" spans="1:9" x14ac:dyDescent="0.3">
      <c r="A78" s="130"/>
    </row>
    <row r="79" spans="1:9" x14ac:dyDescent="0.3">
      <c r="B79" s="18" t="s">
        <v>1358</v>
      </c>
    </row>
    <row r="80" spans="1:9" ht="42" x14ac:dyDescent="0.3">
      <c r="B80" s="24"/>
      <c r="C80" s="40" t="s">
        <v>1359</v>
      </c>
      <c r="D80" s="40" t="s">
        <v>1360</v>
      </c>
      <c r="E80" s="40" t="s">
        <v>1361</v>
      </c>
      <c r="F80" s="40" t="s">
        <v>1362</v>
      </c>
      <c r="G80" s="40" t="s">
        <v>1905</v>
      </c>
      <c r="H80" s="40" t="s">
        <v>1220</v>
      </c>
      <c r="I80" s="127" t="s">
        <v>1206</v>
      </c>
    </row>
    <row r="81" spans="1:9" x14ac:dyDescent="0.3">
      <c r="B81" s="24" t="s">
        <v>1207</v>
      </c>
      <c r="C81" s="24">
        <f>COUNTIF('ALINDAO_Cleaned Data'!APA:APA,"local")</f>
        <v>0</v>
      </c>
      <c r="D81" s="24">
        <f>COUNTIF('ALINDAO_Cleaned Data'!APA:APA,"proche")</f>
        <v>0</v>
      </c>
      <c r="E81" s="24">
        <f>COUNTIF('ALINDAO_Cleaned Data'!APA:APA,"bangui")</f>
        <v>1</v>
      </c>
      <c r="F81" s="24">
        <f>COUNTIF('ALINDAO_Cleaned Data'!APA:APA,"exterieur")</f>
        <v>1</v>
      </c>
      <c r="G81" s="24">
        <f>COUNTIF('ALINDAO_Cleaned Data'!APA:APA,"nsp")</f>
        <v>0</v>
      </c>
      <c r="H81" s="24">
        <f>COUNTIF('ALINDAO_Cleaned Data'!APA:APA,"autre")</f>
        <v>0</v>
      </c>
      <c r="I81" s="25">
        <f>SUM(C81:H81)</f>
        <v>2</v>
      </c>
    </row>
    <row r="82" spans="1:9" ht="37.5" x14ac:dyDescent="0.3">
      <c r="B82" s="121" t="s">
        <v>3319</v>
      </c>
      <c r="C82" s="39">
        <f>C81/$E$7</f>
        <v>0</v>
      </c>
      <c r="D82" s="39">
        <f t="shared" ref="D82:H82" si="11">D81/$E$7</f>
        <v>0</v>
      </c>
      <c r="E82" s="39">
        <f t="shared" si="11"/>
        <v>0.5</v>
      </c>
      <c r="F82" s="39">
        <f t="shared" si="11"/>
        <v>0.5</v>
      </c>
      <c r="G82" s="39">
        <f t="shared" si="11"/>
        <v>0</v>
      </c>
      <c r="H82" s="39">
        <f t="shared" si="11"/>
        <v>0</v>
      </c>
      <c r="I82" s="128">
        <f>SUM(C82:H82)</f>
        <v>1</v>
      </c>
    </row>
    <row r="83" spans="1:9" x14ac:dyDescent="0.3">
      <c r="H83" s="129"/>
    </row>
    <row r="84" spans="1:9" x14ac:dyDescent="0.3">
      <c r="B84" s="18" t="s">
        <v>2000</v>
      </c>
    </row>
    <row r="85" spans="1:9" ht="28" x14ac:dyDescent="0.3">
      <c r="B85" s="24"/>
      <c r="C85" s="40" t="s">
        <v>2001</v>
      </c>
      <c r="D85" s="40" t="s">
        <v>2002</v>
      </c>
      <c r="E85" s="40" t="s">
        <v>2003</v>
      </c>
      <c r="F85" s="40" t="s">
        <v>1905</v>
      </c>
      <c r="G85" s="40" t="s">
        <v>1220</v>
      </c>
      <c r="H85" s="127" t="s">
        <v>1206</v>
      </c>
    </row>
    <row r="86" spans="1:9" x14ac:dyDescent="0.3">
      <c r="B86" s="24" t="s">
        <v>1207</v>
      </c>
      <c r="C86" s="24">
        <f>COUNTIF('ALINDAO_Cleaned Data'!AOY:AOY,"hebdo")</f>
        <v>1</v>
      </c>
      <c r="D86" s="24">
        <f>COUNTIF('ALINDAO_Cleaned Data'!AOY:AOY,"mensuel")</f>
        <v>0</v>
      </c>
      <c r="E86" s="24">
        <f>COUNTIF('ALINDAO_Cleaned Data'!AOY:AOY,"trimestriel")</f>
        <v>1</v>
      </c>
      <c r="F86" s="24">
        <f>COUNTIF('ALINDAO_Cleaned Data'!AOY:AOY,"nsp")</f>
        <v>0</v>
      </c>
      <c r="G86" s="24">
        <f>COUNTIF('ALINDAO_Cleaned Data'!AOY:AOY,"autre")</f>
        <v>0</v>
      </c>
      <c r="H86" s="25">
        <f>SUM(C86:G86)</f>
        <v>2</v>
      </c>
    </row>
    <row r="87" spans="1:9" ht="37.5" x14ac:dyDescent="0.3">
      <c r="B87" s="121" t="s">
        <v>3319</v>
      </c>
      <c r="C87" s="39">
        <f>C86/$E$7</f>
        <v>0.5</v>
      </c>
      <c r="D87" s="39">
        <f t="shared" ref="D87:G87" si="12">D86/$E$7</f>
        <v>0</v>
      </c>
      <c r="E87" s="39">
        <f t="shared" si="12"/>
        <v>0.5</v>
      </c>
      <c r="F87" s="39">
        <f t="shared" si="12"/>
        <v>0</v>
      </c>
      <c r="G87" s="39">
        <f t="shared" si="12"/>
        <v>0</v>
      </c>
      <c r="H87" s="128">
        <f>SUM(C87:G87)</f>
        <v>1</v>
      </c>
    </row>
    <row r="88" spans="1:9" x14ac:dyDescent="0.3">
      <c r="F88" s="74"/>
    </row>
    <row r="89" spans="1:9" ht="15.5" x14ac:dyDescent="0.35">
      <c r="A89" s="9" t="s">
        <v>1363</v>
      </c>
    </row>
    <row r="90" spans="1:9" x14ac:dyDescent="0.3">
      <c r="A90" s="18" t="s">
        <v>2005</v>
      </c>
    </row>
    <row r="91" spans="1:9" x14ac:dyDescent="0.3">
      <c r="A91" s="24"/>
      <c r="B91" s="8" t="s">
        <v>1210</v>
      </c>
      <c r="C91" s="8" t="s">
        <v>1209</v>
      </c>
      <c r="D91" s="127" t="s">
        <v>1206</v>
      </c>
    </row>
    <row r="92" spans="1:9" x14ac:dyDescent="0.3">
      <c r="A92" s="24" t="s">
        <v>1207</v>
      </c>
      <c r="B92" s="24">
        <f>COUNTIF('ALINDAO_Cleaned Data'!APF:APF,"oui")</f>
        <v>2</v>
      </c>
      <c r="C92" s="24">
        <f>COUNTIF('ALINDAO_Cleaned Data'!APF:APF,"non")</f>
        <v>0</v>
      </c>
      <c r="D92" s="25">
        <f>SUM(B92:C92)</f>
        <v>2</v>
      </c>
    </row>
    <row r="93" spans="1:9" ht="26" x14ac:dyDescent="0.3">
      <c r="A93" s="121" t="s">
        <v>3319</v>
      </c>
      <c r="B93" s="39">
        <f>(B92/$E$7)</f>
        <v>1</v>
      </c>
      <c r="C93" s="39">
        <f>(C92/$E$7)</f>
        <v>0</v>
      </c>
      <c r="D93" s="128">
        <f>SUM(B93:C93)</f>
        <v>1</v>
      </c>
    </row>
    <row r="95" spans="1:9" x14ac:dyDescent="0.3">
      <c r="B95" s="18" t="s">
        <v>2006</v>
      </c>
    </row>
    <row r="96" spans="1:9" ht="28" x14ac:dyDescent="0.3">
      <c r="B96" s="24"/>
      <c r="C96" s="11" t="s">
        <v>1307</v>
      </c>
      <c r="D96" s="11" t="s">
        <v>1308</v>
      </c>
      <c r="E96" s="11" t="s">
        <v>1309</v>
      </c>
      <c r="F96" s="11" t="s">
        <v>1225</v>
      </c>
      <c r="G96" s="127" t="s">
        <v>1206</v>
      </c>
    </row>
    <row r="97" spans="1:9" x14ac:dyDescent="0.3">
      <c r="B97" s="24" t="s">
        <v>1207</v>
      </c>
      <c r="C97" s="24">
        <f>COUNTIF('ALINDAO_Cleaned Data'!APG:APG,"peu_diminue")</f>
        <v>1</v>
      </c>
      <c r="D97" s="24">
        <f>COUNTIF('ALINDAO_Cleaned Data'!APG:APG,"bcp_diminue")</f>
        <v>0</v>
      </c>
      <c r="E97" s="24">
        <f>COUNTIF('ALINDAO_Cleaned Data'!APG:APG,"peu_augmente")</f>
        <v>1</v>
      </c>
      <c r="F97" s="24">
        <f>COUNTIF('ALINDAO_Cleaned Data'!APG:APG,"bcp_augmente")</f>
        <v>0</v>
      </c>
      <c r="G97" s="25">
        <f>SUM(C97:F97)</f>
        <v>2</v>
      </c>
    </row>
    <row r="98" spans="1:9" ht="37.5" x14ac:dyDescent="0.3">
      <c r="B98" s="121" t="s">
        <v>3325</v>
      </c>
      <c r="C98" s="39">
        <f>C97/$B$92</f>
        <v>0.5</v>
      </c>
      <c r="D98" s="39">
        <f t="shared" ref="D98:F98" si="13">D97/$B$92</f>
        <v>0</v>
      </c>
      <c r="E98" s="39">
        <f t="shared" si="13"/>
        <v>0.5</v>
      </c>
      <c r="F98" s="39">
        <f t="shared" si="13"/>
        <v>0</v>
      </c>
      <c r="G98" s="128">
        <f>SUM(C98:F98)</f>
        <v>1</v>
      </c>
    </row>
    <row r="99" spans="1:9" x14ac:dyDescent="0.3">
      <c r="B99" s="14"/>
    </row>
    <row r="100" spans="1:9" x14ac:dyDescent="0.3">
      <c r="B100" s="18" t="s">
        <v>1310</v>
      </c>
      <c r="D100" s="103" t="s">
        <v>3245</v>
      </c>
    </row>
    <row r="101" spans="1:9" ht="70" x14ac:dyDescent="0.3">
      <c r="B101" s="24"/>
      <c r="C101" s="11" t="s">
        <v>1315</v>
      </c>
      <c r="D101" s="11" t="s">
        <v>1364</v>
      </c>
      <c r="E101" s="11" t="s">
        <v>1365</v>
      </c>
      <c r="F101" s="11" t="s">
        <v>1366</v>
      </c>
      <c r="G101" s="11" t="s">
        <v>1367</v>
      </c>
      <c r="H101" s="11" t="s">
        <v>1905</v>
      </c>
      <c r="I101" s="11" t="s">
        <v>1220</v>
      </c>
    </row>
    <row r="102" spans="1:9" x14ac:dyDescent="0.3">
      <c r="B102" s="24" t="s">
        <v>1207</v>
      </c>
      <c r="C102" s="24">
        <f>COUNTIF('ALINDAO_Cleaned Data'!APR:APR,"1")</f>
        <v>0</v>
      </c>
      <c r="D102" s="24">
        <f>COUNTIF('ALINDAO_Cleaned Data'!APS:APS,"1")</f>
        <v>1</v>
      </c>
      <c r="E102" s="24">
        <f>COUNTIF('ALINDAO_Cleaned Data'!APT:APT,"1")</f>
        <v>1</v>
      </c>
      <c r="F102" s="24">
        <f>COUNTIF('ALINDAO_Cleaned Data'!APU:APU,"1")</f>
        <v>0</v>
      </c>
      <c r="G102" s="24">
        <f>COUNTIF('ALINDAO_Cleaned Data'!APV:APV,"1")</f>
        <v>0</v>
      </c>
      <c r="H102" s="24">
        <f>COUNTIF('ALINDAO_Cleaned Data'!APW:APW,"1")</f>
        <v>0</v>
      </c>
      <c r="I102" s="24">
        <f>COUNTIF('ALINDAO_Cleaned Data'!APX:APX,"1")</f>
        <v>1</v>
      </c>
    </row>
    <row r="103" spans="1:9" ht="42" customHeight="1" x14ac:dyDescent="0.3">
      <c r="B103" s="121" t="s">
        <v>3326</v>
      </c>
      <c r="C103" s="39">
        <f>D102/($C$97+$D$97)</f>
        <v>1</v>
      </c>
      <c r="D103" s="39">
        <f t="shared" ref="D103:I103" si="14">E102/($C$97+$D$97)</f>
        <v>1</v>
      </c>
      <c r="E103" s="39">
        <f t="shared" si="14"/>
        <v>0</v>
      </c>
      <c r="F103" s="39">
        <f t="shared" si="14"/>
        <v>0</v>
      </c>
      <c r="G103" s="39">
        <f t="shared" si="14"/>
        <v>0</v>
      </c>
      <c r="H103" s="39">
        <f t="shared" si="14"/>
        <v>1</v>
      </c>
      <c r="I103" s="39">
        <f t="shared" si="14"/>
        <v>0</v>
      </c>
    </row>
    <row r="104" spans="1:9" x14ac:dyDescent="0.3">
      <c r="I104" s="74" t="s">
        <v>3346</v>
      </c>
    </row>
    <row r="105" spans="1:9" x14ac:dyDescent="0.3">
      <c r="B105" s="18" t="s">
        <v>1227</v>
      </c>
      <c r="D105" s="103" t="s">
        <v>3245</v>
      </c>
    </row>
    <row r="106" spans="1:9" ht="56" x14ac:dyDescent="0.3">
      <c r="B106" s="24"/>
      <c r="C106" s="11" t="s">
        <v>1311</v>
      </c>
      <c r="D106" s="11" t="s">
        <v>1312</v>
      </c>
      <c r="E106" s="11" t="s">
        <v>2324</v>
      </c>
      <c r="F106" s="11" t="s">
        <v>2325</v>
      </c>
      <c r="G106" s="11" t="s">
        <v>2326</v>
      </c>
      <c r="H106" s="11" t="s">
        <v>1905</v>
      </c>
      <c r="I106" s="11" t="s">
        <v>1205</v>
      </c>
    </row>
    <row r="107" spans="1:9" x14ac:dyDescent="0.3">
      <c r="B107" s="24" t="s">
        <v>1207</v>
      </c>
      <c r="C107" s="24">
        <f>COUNTIF('ALINDAO_Cleaned Data'!API:API,"1")</f>
        <v>1</v>
      </c>
      <c r="D107" s="24">
        <f>COUNTIF('ALINDAO_Cleaned Data'!APJ:APJ,"1")</f>
        <v>0</v>
      </c>
      <c r="E107" s="24">
        <f>COUNTIF('ALINDAO_Cleaned Data'!APK:APK,"1")</f>
        <v>1</v>
      </c>
      <c r="F107" s="24">
        <f>COUNTIF('ALINDAO_Cleaned Data'!APL:APL,"1")</f>
        <v>0</v>
      </c>
      <c r="G107" s="24">
        <f>COUNTIF('ALINDAO_Cleaned Data'!APM:APM,"1")</f>
        <v>1</v>
      </c>
      <c r="H107" s="24">
        <f>COUNTIF('ALINDAO_Cleaned Data'!APN:APN,"1")</f>
        <v>0</v>
      </c>
      <c r="I107" s="24">
        <f>COUNTIF('ALINDAO_Cleaned Data'!APO:APO,"1")</f>
        <v>0</v>
      </c>
    </row>
    <row r="108" spans="1:9" ht="49" x14ac:dyDescent="0.3">
      <c r="B108" s="121" t="s">
        <v>3327</v>
      </c>
      <c r="C108" s="39">
        <f>C107/($E$97+$F$97)</f>
        <v>1</v>
      </c>
      <c r="D108" s="39">
        <f t="shared" ref="D108:I108" si="15">D107/($E$97+$F$97)</f>
        <v>0</v>
      </c>
      <c r="E108" s="39">
        <f t="shared" si="15"/>
        <v>1</v>
      </c>
      <c r="F108" s="39">
        <f t="shared" si="15"/>
        <v>0</v>
      </c>
      <c r="G108" s="39">
        <f t="shared" si="15"/>
        <v>1</v>
      </c>
      <c r="H108" s="39">
        <f t="shared" si="15"/>
        <v>0</v>
      </c>
      <c r="I108" s="39">
        <f t="shared" si="15"/>
        <v>0</v>
      </c>
    </row>
    <row r="109" spans="1:9" x14ac:dyDescent="0.3">
      <c r="B109" s="14"/>
      <c r="C109" s="15"/>
      <c r="D109" s="15"/>
      <c r="E109" s="15"/>
      <c r="F109" s="15"/>
      <c r="G109" s="15"/>
      <c r="H109" s="15"/>
      <c r="I109" s="15"/>
    </row>
    <row r="110" spans="1:9" ht="15.5" x14ac:dyDescent="0.35">
      <c r="A110" s="9" t="s">
        <v>1368</v>
      </c>
    </row>
    <row r="111" spans="1:9" x14ac:dyDescent="0.3">
      <c r="A111" s="18" t="s">
        <v>2007</v>
      </c>
      <c r="B111" s="103" t="s">
        <v>3245</v>
      </c>
    </row>
    <row r="112" spans="1:9" s="36" customFormat="1" ht="42" x14ac:dyDescent="0.35">
      <c r="A112" s="75"/>
      <c r="B112" s="35" t="s">
        <v>2008</v>
      </c>
      <c r="C112" s="35" t="s">
        <v>2009</v>
      </c>
      <c r="D112" s="35" t="s">
        <v>2010</v>
      </c>
      <c r="E112" s="35" t="s">
        <v>2011</v>
      </c>
      <c r="F112" s="35" t="s">
        <v>3259</v>
      </c>
      <c r="G112" s="35" t="s">
        <v>1205</v>
      </c>
    </row>
    <row r="113" spans="1:8" x14ac:dyDescent="0.3">
      <c r="A113" s="24" t="s">
        <v>1207</v>
      </c>
      <c r="B113" s="24">
        <f>COUNTIF('ALINDAO_Cleaned Data'!AQA:AQA,"1")</f>
        <v>0</v>
      </c>
      <c r="C113" s="24">
        <f>COUNTIF('ALINDAO_Cleaned Data'!AQB:AQB,"1")</f>
        <v>1</v>
      </c>
      <c r="D113" s="24">
        <f>COUNTIF('ALINDAO_Cleaned Data'!AQC:AQC,"1")</f>
        <v>0</v>
      </c>
      <c r="E113" s="24">
        <f>COUNTIF('ALINDAO_Cleaned Data'!AQD:AQD,"1")</f>
        <v>0</v>
      </c>
      <c r="F113" s="24">
        <f>COUNTIF('ALINDAO_Cleaned Data'!AQE:AQE,"1")</f>
        <v>0</v>
      </c>
      <c r="G113" s="24">
        <f>COUNTIF('ALINDAO_Cleaned Data'!AQF:AQF,"1")</f>
        <v>0</v>
      </c>
    </row>
    <row r="114" spans="1:8" ht="26" x14ac:dyDescent="0.3">
      <c r="A114" s="121" t="s">
        <v>3319</v>
      </c>
      <c r="B114" s="39">
        <f>(B113/$E$7)</f>
        <v>0</v>
      </c>
      <c r="C114" s="39">
        <f t="shared" ref="C114:G114" si="16">(C113/$E$7)</f>
        <v>0.5</v>
      </c>
      <c r="D114" s="39">
        <f t="shared" si="16"/>
        <v>0</v>
      </c>
      <c r="E114" s="39">
        <f t="shared" si="16"/>
        <v>0</v>
      </c>
      <c r="F114" s="39">
        <f t="shared" si="16"/>
        <v>0</v>
      </c>
      <c r="G114" s="39">
        <f t="shared" si="16"/>
        <v>0</v>
      </c>
    </row>
    <row r="115" spans="1:8" x14ac:dyDescent="0.3">
      <c r="C115" s="74" t="s">
        <v>2329</v>
      </c>
    </row>
    <row r="116" spans="1:8" x14ac:dyDescent="0.3">
      <c r="B116" s="74"/>
    </row>
    <row r="117" spans="1:8" x14ac:dyDescent="0.3">
      <c r="B117" s="18" t="s">
        <v>2012</v>
      </c>
    </row>
    <row r="118" spans="1:8" x14ac:dyDescent="0.3">
      <c r="B118" s="21">
        <f>AVERAGE('ALINDAO_Cleaned Data'!AQN:AQN)</f>
        <v>100</v>
      </c>
      <c r="C118" s="21" t="s">
        <v>2015</v>
      </c>
      <c r="D118" s="74"/>
    </row>
    <row r="120" spans="1:8" x14ac:dyDescent="0.3">
      <c r="B120" s="18" t="s">
        <v>2016</v>
      </c>
    </row>
    <row r="121" spans="1:8" x14ac:dyDescent="0.3">
      <c r="B121" s="19" t="e">
        <f>AVERAGE('ALINDAO_Cleaned Data'!ARD:ARD)</f>
        <v>#DIV/0!</v>
      </c>
      <c r="C121" s="21" t="s">
        <v>1243</v>
      </c>
      <c r="D121" s="74" t="s">
        <v>2843</v>
      </c>
    </row>
    <row r="123" spans="1:8" x14ac:dyDescent="0.3">
      <c r="A123" s="14"/>
      <c r="B123" s="15"/>
      <c r="C123" s="15"/>
    </row>
    <row r="124" spans="1:8" ht="15.5" x14ac:dyDescent="0.35">
      <c r="A124" s="9" t="s">
        <v>1293</v>
      </c>
    </row>
    <row r="125" spans="1:8" x14ac:dyDescent="0.3">
      <c r="A125" s="18" t="s">
        <v>1370</v>
      </c>
      <c r="C125" s="103" t="s">
        <v>3245</v>
      </c>
    </row>
    <row r="126" spans="1:8" s="36" customFormat="1" ht="58.5" customHeight="1" x14ac:dyDescent="0.3">
      <c r="A126" s="24"/>
      <c r="B126" s="35" t="s">
        <v>1369</v>
      </c>
      <c r="C126" s="35" t="s">
        <v>1374</v>
      </c>
      <c r="D126" s="35" t="s">
        <v>1371</v>
      </c>
      <c r="E126" s="35" t="s">
        <v>1372</v>
      </c>
      <c r="F126" s="35" t="s">
        <v>1373</v>
      </c>
      <c r="G126" s="35" t="s">
        <v>3259</v>
      </c>
      <c r="H126" s="35" t="s">
        <v>1220</v>
      </c>
    </row>
    <row r="127" spans="1:8" x14ac:dyDescent="0.3">
      <c r="A127" s="24" t="s">
        <v>1207</v>
      </c>
      <c r="B127" s="24">
        <f>COUNTIF('ALINDAO_Cleaned Data'!ARV:ARV,"1")</f>
        <v>0</v>
      </c>
      <c r="C127" s="24">
        <f>COUNTIF('ALINDAO_Cleaned Data'!ARW:ARW,"1")</f>
        <v>0</v>
      </c>
      <c r="D127" s="24">
        <f>COUNTIF('ALINDAO_Cleaned Data'!ARX:ARX,"1")</f>
        <v>0</v>
      </c>
      <c r="E127" s="24">
        <f>COUNTIF('ALINDAO_Cleaned Data'!ARY:ARY,"1")</f>
        <v>0</v>
      </c>
      <c r="F127" s="24">
        <f>COUNTIF('ALINDAO_Cleaned Data'!ARZ:ARZ,"1")</f>
        <v>2</v>
      </c>
      <c r="G127" s="24">
        <f>COUNTIF('ALINDAO_Cleaned Data'!ASA:ASA,"1")</f>
        <v>0</v>
      </c>
      <c r="H127" s="24">
        <f>COUNTIF('ALINDAO_Cleaned Data'!ASB:ASB,"1")</f>
        <v>0</v>
      </c>
    </row>
    <row r="128" spans="1:8" ht="26" x14ac:dyDescent="0.3">
      <c r="A128" s="121" t="s">
        <v>3316</v>
      </c>
      <c r="B128" s="39">
        <f>B127/$B$3</f>
        <v>0</v>
      </c>
      <c r="C128" s="39">
        <f t="shared" ref="C128:H128" si="17">C127/$B$3</f>
        <v>0</v>
      </c>
      <c r="D128" s="39">
        <f t="shared" si="17"/>
        <v>0</v>
      </c>
      <c r="E128" s="39">
        <f t="shared" si="17"/>
        <v>0</v>
      </c>
      <c r="F128" s="39">
        <f t="shared" si="17"/>
        <v>1</v>
      </c>
      <c r="G128" s="39">
        <f t="shared" si="17"/>
        <v>0</v>
      </c>
      <c r="H128" s="39">
        <f t="shared" si="17"/>
        <v>0</v>
      </c>
    </row>
    <row r="129" spans="1:16" x14ac:dyDescent="0.3">
      <c r="A129" s="14"/>
      <c r="H129" s="74"/>
    </row>
    <row r="130" spans="1:16" x14ac:dyDescent="0.3">
      <c r="A130" s="18" t="s">
        <v>1375</v>
      </c>
    </row>
    <row r="131" spans="1:16" x14ac:dyDescent="0.3">
      <c r="A131" s="24"/>
      <c r="B131" s="8" t="s">
        <v>1210</v>
      </c>
      <c r="C131" s="8" t="s">
        <v>1209</v>
      </c>
      <c r="D131" s="127" t="s">
        <v>1206</v>
      </c>
    </row>
    <row r="132" spans="1:16" x14ac:dyDescent="0.3">
      <c r="A132" s="24" t="s">
        <v>1207</v>
      </c>
      <c r="B132" s="24">
        <f>COUNTIF('ALINDAO_Cleaned Data'!ASD:ASD,"oui")</f>
        <v>1</v>
      </c>
      <c r="C132" s="24">
        <f>COUNTIF('ALINDAO_Cleaned Data'!ASD:ASD,"non")</f>
        <v>1</v>
      </c>
      <c r="D132" s="25">
        <f>SUM(B132:C132)</f>
        <v>2</v>
      </c>
    </row>
    <row r="133" spans="1:16" ht="26" x14ac:dyDescent="0.3">
      <c r="A133" s="121" t="s">
        <v>3319</v>
      </c>
      <c r="B133" s="39">
        <f>(B132/$E$7)</f>
        <v>0.5</v>
      </c>
      <c r="C133" s="39">
        <f>(C132/$E$7)</f>
        <v>0.5</v>
      </c>
      <c r="D133" s="128">
        <f>SUM(B133:C133)</f>
        <v>1</v>
      </c>
    </row>
    <row r="135" spans="1:16" x14ac:dyDescent="0.3">
      <c r="A135" s="18" t="s">
        <v>1331</v>
      </c>
      <c r="C135" s="103" t="s">
        <v>3245</v>
      </c>
    </row>
    <row r="136" spans="1:16" x14ac:dyDescent="0.3">
      <c r="A136" s="24"/>
      <c r="B136" s="8" t="s">
        <v>1250</v>
      </c>
      <c r="C136" s="8" t="s">
        <v>1251</v>
      </c>
      <c r="D136" s="8" t="s">
        <v>1905</v>
      </c>
      <c r="E136" s="8" t="s">
        <v>1205</v>
      </c>
      <c r="F136" s="8" t="s">
        <v>1252</v>
      </c>
    </row>
    <row r="137" spans="1:16" x14ac:dyDescent="0.3">
      <c r="A137" s="24" t="s">
        <v>1207</v>
      </c>
      <c r="B137" s="3">
        <f>COUNTIF('ALINDAO_Cleaned Data'!ASO:ASO,"1")</f>
        <v>0</v>
      </c>
      <c r="C137" s="3">
        <f>COUNTIF('ALINDAO_Cleaned Data'!ASP:ASP,"1")</f>
        <v>0</v>
      </c>
      <c r="D137" s="3">
        <f>COUNTIF('ALINDAO_Cleaned Data'!ASQ:ASQ,"1")</f>
        <v>0</v>
      </c>
      <c r="E137" s="3">
        <f>COUNTIF('ALINDAO_Cleaned Data'!ASR:ASR,"1")</f>
        <v>0</v>
      </c>
      <c r="F137" s="3">
        <f>COUNTIF('ALINDAO_Cleaned Data'!ASS:ASS,"1")</f>
        <v>2</v>
      </c>
    </row>
    <row r="138" spans="1:16" ht="26" x14ac:dyDescent="0.3">
      <c r="A138" s="121" t="s">
        <v>3316</v>
      </c>
      <c r="B138" s="39">
        <f>B137/$B$3</f>
        <v>0</v>
      </c>
      <c r="C138" s="39">
        <f t="shared" ref="C138:F138" si="18">C137/$B$3</f>
        <v>0</v>
      </c>
      <c r="D138" s="39">
        <f t="shared" si="18"/>
        <v>0</v>
      </c>
      <c r="E138" s="39">
        <f t="shared" si="18"/>
        <v>0</v>
      </c>
      <c r="F138" s="39">
        <f t="shared" si="18"/>
        <v>1</v>
      </c>
    </row>
    <row r="139" spans="1:16" x14ac:dyDescent="0.3">
      <c r="A139" s="14"/>
    </row>
    <row r="140" spans="1:16" ht="15.5" x14ac:dyDescent="0.35">
      <c r="A140" s="29" t="s">
        <v>1299</v>
      </c>
      <c r="C140" s="103" t="s">
        <v>3245</v>
      </c>
    </row>
    <row r="141" spans="1:16" s="36" customFormat="1" ht="70" x14ac:dyDescent="0.35">
      <c r="A141" s="35" t="s">
        <v>1475</v>
      </c>
      <c r="B141" s="35" t="s">
        <v>2019</v>
      </c>
      <c r="C141" s="35" t="s">
        <v>1376</v>
      </c>
      <c r="D141" s="35" t="s">
        <v>2023</v>
      </c>
      <c r="E141" s="35" t="s">
        <v>2024</v>
      </c>
      <c r="F141" s="35" t="s">
        <v>2020</v>
      </c>
      <c r="G141" s="35" t="s">
        <v>1377</v>
      </c>
      <c r="H141" s="35" t="s">
        <v>1378</v>
      </c>
      <c r="I141" s="35" t="s">
        <v>1379</v>
      </c>
      <c r="J141" s="35" t="s">
        <v>2021</v>
      </c>
      <c r="K141" s="35" t="s">
        <v>2022</v>
      </c>
      <c r="L141" s="35" t="s">
        <v>1380</v>
      </c>
      <c r="M141" s="35" t="s">
        <v>2025</v>
      </c>
      <c r="N141" s="35" t="s">
        <v>1381</v>
      </c>
      <c r="O141" s="35" t="s">
        <v>1905</v>
      </c>
      <c r="P141" s="35" t="s">
        <v>1205</v>
      </c>
    </row>
    <row r="142" spans="1:16" x14ac:dyDescent="0.3">
      <c r="A142" s="3">
        <f>COUNTIF('ALINDAO_Cleaned Data'!ATK:ATK,"1")</f>
        <v>2</v>
      </c>
      <c r="B142" s="3">
        <f>COUNTIF('ALINDAO_Cleaned Data'!ATL:ATL,"1")</f>
        <v>2</v>
      </c>
      <c r="C142" s="3">
        <f>COUNTIF('ALINDAO_Cleaned Data'!ATM:ATM,"1")</f>
        <v>2</v>
      </c>
      <c r="D142" s="3">
        <f>COUNTIF('ALINDAO_Cleaned Data'!ATN:ATN,"1")</f>
        <v>2</v>
      </c>
      <c r="E142" s="3">
        <f>COUNTIF('ALINDAO_Cleaned Data'!ATO:ATO,"1")</f>
        <v>1</v>
      </c>
      <c r="F142" s="3">
        <f>COUNTIF('ALINDAO_Cleaned Data'!ATX:ATX,"1")</f>
        <v>2</v>
      </c>
      <c r="G142" s="3">
        <f>COUNTIF('ALINDAO_Cleaned Data'!ATP:ATP,"1")</f>
        <v>1</v>
      </c>
      <c r="H142" s="3">
        <f>COUNTIF('ALINDAO_Cleaned Data'!ATQ:ATQ,"1")</f>
        <v>0</v>
      </c>
      <c r="I142" s="3">
        <f>COUNTIF('ALINDAO_Cleaned Data'!ATR:ATR,"1")</f>
        <v>0</v>
      </c>
      <c r="J142" s="3">
        <f>COUNTIF('ALINDAO_Cleaned Data'!ATS:ATS,"1")</f>
        <v>0</v>
      </c>
      <c r="K142" s="3">
        <f>COUNTIF('ALINDAO_Cleaned Data'!ATU:ATU,"1")</f>
        <v>1</v>
      </c>
      <c r="L142" s="3">
        <f>COUNTIF('ALINDAO_Cleaned Data'!ATV:ATV,"1")</f>
        <v>1</v>
      </c>
      <c r="M142" s="3">
        <f>COUNTIF('ALINDAO_Cleaned Data'!ATW:ATW,"1")</f>
        <v>0</v>
      </c>
      <c r="N142" s="3">
        <f>COUNTIF('ALINDAO_Cleaned Data'!ATY:ATY,"1")</f>
        <v>0</v>
      </c>
      <c r="O142" s="3">
        <f>COUNTIF('ALINDAO_Cleaned Data'!ATZ:ATZ,"1")</f>
        <v>0</v>
      </c>
      <c r="P142" s="3">
        <f>COUNTIF('ALINDAO_Cleaned Data'!AUA:AUA,"1")</f>
        <v>0</v>
      </c>
    </row>
    <row r="143" spans="1:16" x14ac:dyDescent="0.3">
      <c r="A143" s="14"/>
      <c r="B143" s="14"/>
      <c r="C143" s="14"/>
      <c r="D143" s="14"/>
      <c r="E143" s="14"/>
      <c r="F143" s="14"/>
      <c r="G143" s="14"/>
      <c r="H143" s="14"/>
      <c r="I143" s="14"/>
      <c r="J143" s="14"/>
      <c r="K143" s="14"/>
      <c r="L143" s="14"/>
      <c r="M143" s="14"/>
      <c r="N143" s="14"/>
      <c r="O143" s="14"/>
      <c r="P143" s="76"/>
    </row>
    <row r="144" spans="1:16" ht="15.5" x14ac:dyDescent="0.35">
      <c r="A144" s="29" t="s">
        <v>1300</v>
      </c>
      <c r="C144" s="103" t="s">
        <v>3245</v>
      </c>
    </row>
    <row r="145" spans="1:13" ht="28" x14ac:dyDescent="0.3">
      <c r="A145" s="8" t="s">
        <v>1236</v>
      </c>
      <c r="B145" s="8" t="s">
        <v>1256</v>
      </c>
      <c r="C145" s="8" t="s">
        <v>1257</v>
      </c>
      <c r="D145" s="8" t="s">
        <v>1239</v>
      </c>
      <c r="E145" s="8" t="s">
        <v>1240</v>
      </c>
      <c r="F145" s="8" t="s">
        <v>1258</v>
      </c>
      <c r="G145" s="8" t="s">
        <v>1259</v>
      </c>
      <c r="H145" s="8" t="s">
        <v>1260</v>
      </c>
      <c r="I145" s="8" t="s">
        <v>1261</v>
      </c>
      <c r="J145" s="8" t="s">
        <v>1252</v>
      </c>
      <c r="K145" s="8" t="s">
        <v>3259</v>
      </c>
      <c r="L145" s="8" t="s">
        <v>1220</v>
      </c>
    </row>
    <row r="146" spans="1:13" x14ac:dyDescent="0.3">
      <c r="A146" s="24">
        <f>COUNTIF('ALINDAO_Cleaned Data'!ASV:ASV,"1")</f>
        <v>0</v>
      </c>
      <c r="B146" s="24">
        <f>COUNTIF('ALINDAO_Cleaned Data'!ASW:ASW,"1")</f>
        <v>0</v>
      </c>
      <c r="C146" s="24">
        <f>COUNTIF('ALINDAO_Cleaned Data'!ASX:ASX,"1")</f>
        <v>0</v>
      </c>
      <c r="D146" s="24">
        <f>COUNTIF('ALINDAO_Cleaned Data'!ASY:ASY,"1")</f>
        <v>0</v>
      </c>
      <c r="E146" s="24">
        <f>COUNTIF('ALINDAO_Cleaned Data'!ASZ:ASZ,"1")</f>
        <v>1</v>
      </c>
      <c r="F146" s="24">
        <f>COUNTIF('ALINDAO_Cleaned Data'!ATA:ATA,"1")</f>
        <v>0</v>
      </c>
      <c r="G146" s="24">
        <f>COUNTIF('ALINDAO_Cleaned Data'!ATB:ATB,"1")</f>
        <v>0</v>
      </c>
      <c r="H146" s="24">
        <f>COUNTIF('ALINDAO_Cleaned Data'!ATC:ATC,"1")</f>
        <v>0</v>
      </c>
      <c r="I146" s="24">
        <f>COUNTIF('ALINDAO_Cleaned Data'!ATD:ATD,"1")</f>
        <v>0</v>
      </c>
      <c r="J146" s="24">
        <f>COUNTIF('ALINDAO_Cleaned Data'!ATE:ATE,"1")</f>
        <v>1</v>
      </c>
      <c r="K146" s="24">
        <f>COUNTIF('ALINDAO_Cleaned Data'!ATF:ATF,"1")</f>
        <v>0</v>
      </c>
      <c r="L146" s="24">
        <f>COUNTIF('ALINDAO_Cleaned Data'!ATG:ATG,"1")</f>
        <v>0</v>
      </c>
    </row>
    <row r="148" spans="1:13" ht="15.5" x14ac:dyDescent="0.35">
      <c r="A148" s="29" t="s">
        <v>1334</v>
      </c>
    </row>
    <row r="149" spans="1:13" x14ac:dyDescent="0.3">
      <c r="A149" s="3"/>
      <c r="B149" s="8" t="s">
        <v>1210</v>
      </c>
      <c r="C149" s="8" t="s">
        <v>1209</v>
      </c>
      <c r="D149" s="127" t="s">
        <v>1206</v>
      </c>
    </row>
    <row r="150" spans="1:13" x14ac:dyDescent="0.3">
      <c r="A150" s="3" t="s">
        <v>1207</v>
      </c>
      <c r="B150" s="24">
        <f>COUNTIF('ALINDAO_Cleaned Data'!AUC:AUC,"OUI")</f>
        <v>0</v>
      </c>
      <c r="C150" s="24">
        <f>COUNTIF('ALINDAO_Cleaned Data'!AUC:AUC,"non")</f>
        <v>2</v>
      </c>
      <c r="D150" s="25">
        <f>SUM(B150:C150)</f>
        <v>2</v>
      </c>
    </row>
    <row r="151" spans="1:13" ht="26" x14ac:dyDescent="0.3">
      <c r="A151" s="121" t="s">
        <v>3316</v>
      </c>
      <c r="B151" s="7">
        <f>(B150/$B$3)</f>
        <v>0</v>
      </c>
      <c r="C151" s="7">
        <f>(C150/$B$3)</f>
        <v>1</v>
      </c>
      <c r="D151" s="128">
        <f>SUM(B151:C151)</f>
        <v>1</v>
      </c>
    </row>
    <row r="152" spans="1:13" x14ac:dyDescent="0.3">
      <c r="A152" s="130"/>
      <c r="B152" s="15"/>
      <c r="C152" s="15"/>
      <c r="D152" s="129"/>
    </row>
    <row r="153" spans="1:13" ht="15.5" x14ac:dyDescent="0.35">
      <c r="A153" s="9" t="s">
        <v>1301</v>
      </c>
      <c r="C153" s="103" t="s">
        <v>3245</v>
      </c>
    </row>
    <row r="154" spans="1:13" ht="56" x14ac:dyDescent="0.35">
      <c r="A154" s="8" t="s">
        <v>2029</v>
      </c>
      <c r="B154" s="8" t="s">
        <v>2028</v>
      </c>
      <c r="C154" s="8" t="s">
        <v>2030</v>
      </c>
      <c r="D154" s="8" t="s">
        <v>1382</v>
      </c>
      <c r="E154" s="8" t="s">
        <v>1383</v>
      </c>
      <c r="F154" s="8" t="s">
        <v>1384</v>
      </c>
      <c r="G154" s="8" t="s">
        <v>1385</v>
      </c>
      <c r="H154" s="8" t="s">
        <v>1905</v>
      </c>
      <c r="I154" s="8" t="s">
        <v>1205</v>
      </c>
      <c r="K154" s="23"/>
      <c r="L154" s="23"/>
      <c r="M154" s="23"/>
    </row>
    <row r="155" spans="1:13" ht="14.5" x14ac:dyDescent="0.35">
      <c r="A155" s="24">
        <f>COUNTIF('ALINDAO_Cleaned Data'!AVH:AVH,"1")</f>
        <v>1</v>
      </c>
      <c r="B155" s="24">
        <f>COUNTIF('ALINDAO_Cleaned Data'!AVI:AVI,"1")</f>
        <v>1</v>
      </c>
      <c r="C155" s="24">
        <f>COUNTIF('ALINDAO_Cleaned Data'!AVJ:AVJ,"1")</f>
        <v>2</v>
      </c>
      <c r="D155" s="24">
        <f>COUNTIF('ALINDAO_Cleaned Data'!AVK:AVK,"1")</f>
        <v>0</v>
      </c>
      <c r="E155" s="24">
        <f>COUNTIF('ALINDAO_Cleaned Data'!AVL:AVL,"1")</f>
        <v>2</v>
      </c>
      <c r="F155" s="24">
        <f>COUNTIF('ALINDAO_Cleaned Data'!AVM:AVM,"1")</f>
        <v>1</v>
      </c>
      <c r="G155" s="24">
        <f>COUNTIF('ALINDAO_Cleaned Data'!AVN:AVN,"1")</f>
        <v>1</v>
      </c>
      <c r="H155" s="24">
        <f>COUNTIF('ALINDAO_Cleaned Data'!AVO:AVO,"1")</f>
        <v>0</v>
      </c>
      <c r="I155" s="24">
        <f>COUNTIF('ALINDAO_Cleaned Data'!AVP:AVP,"1")</f>
        <v>0</v>
      </c>
      <c r="J155"/>
      <c r="K155" s="23"/>
      <c r="L155" s="23"/>
      <c r="M155" s="23"/>
    </row>
    <row r="156" spans="1:13" x14ac:dyDescent="0.3">
      <c r="I156" s="74"/>
    </row>
  </sheetData>
  <conditionalFormatting sqref="C35:F35">
    <cfRule type="colorScale" priority="33">
      <colorScale>
        <cfvo type="min"/>
        <cfvo type="max"/>
        <color theme="6" tint="0.79998168889431442"/>
        <color theme="5" tint="0.39997558519241921"/>
      </colorScale>
    </cfRule>
  </conditionalFormatting>
  <conditionalFormatting sqref="C40:M40">
    <cfRule type="colorScale" priority="32">
      <colorScale>
        <cfvo type="min"/>
        <cfvo type="max"/>
        <color theme="6" tint="0.79998168889431442"/>
        <color theme="5" tint="0.39997558519241921"/>
      </colorScale>
    </cfRule>
  </conditionalFormatting>
  <conditionalFormatting sqref="B61:J61">
    <cfRule type="colorScale" priority="31">
      <colorScale>
        <cfvo type="min"/>
        <cfvo type="max"/>
        <color theme="6" tint="0.79998168889431442"/>
        <color theme="5" tint="0.39997558519241921"/>
      </colorScale>
    </cfRule>
  </conditionalFormatting>
  <conditionalFormatting sqref="B68:E68 C66:H66">
    <cfRule type="colorScale" priority="30">
      <colorScale>
        <cfvo type="min"/>
        <cfvo type="max"/>
        <color theme="6" tint="0.79998168889431442"/>
        <color theme="5" tint="0.39997558519241921"/>
      </colorScale>
    </cfRule>
  </conditionalFormatting>
  <conditionalFormatting sqref="B68:G68 C66:H66">
    <cfRule type="colorScale" priority="29">
      <colorScale>
        <cfvo type="min"/>
        <cfvo type="max"/>
        <color theme="6" tint="0.79998168889431442"/>
        <color theme="5" tint="0.39997558519241921"/>
      </colorScale>
    </cfRule>
  </conditionalFormatting>
  <conditionalFormatting sqref="B76:I76">
    <cfRule type="colorScale" priority="28">
      <colorScale>
        <cfvo type="min"/>
        <cfvo type="max"/>
        <color theme="6" tint="0.79998168889431442"/>
        <color theme="5" tint="0.39997558519241921"/>
      </colorScale>
    </cfRule>
  </conditionalFormatting>
  <conditionalFormatting sqref="C81:F81">
    <cfRule type="colorScale" priority="27">
      <colorScale>
        <cfvo type="min"/>
        <cfvo type="max"/>
        <color theme="6" tint="0.79998168889431442"/>
        <color theme="5" tint="0.39997558519241921"/>
      </colorScale>
    </cfRule>
  </conditionalFormatting>
  <conditionalFormatting sqref="C81:H81">
    <cfRule type="colorScale" priority="26">
      <colorScale>
        <cfvo type="min"/>
        <cfvo type="max"/>
        <color theme="6" tint="0.79998168889431442"/>
        <color theme="5" tint="0.39997558519241921"/>
      </colorScale>
    </cfRule>
  </conditionalFormatting>
  <conditionalFormatting sqref="C97:F97">
    <cfRule type="colorScale" priority="25">
      <colorScale>
        <cfvo type="min"/>
        <cfvo type="max"/>
        <color theme="6" tint="0.79998168889431442"/>
        <color theme="5" tint="0.39997558519241921"/>
      </colorScale>
    </cfRule>
  </conditionalFormatting>
  <conditionalFormatting sqref="C102:I102">
    <cfRule type="colorScale" priority="24">
      <colorScale>
        <cfvo type="min"/>
        <cfvo type="max"/>
        <color theme="6" tint="0.79998168889431442"/>
        <color theme="5" tint="0.39997558519241921"/>
      </colorScale>
    </cfRule>
  </conditionalFormatting>
  <conditionalFormatting sqref="B55:L55">
    <cfRule type="colorScale" priority="23">
      <colorScale>
        <cfvo type="min"/>
        <cfvo type="max"/>
        <color theme="6" tint="0.79998168889431442"/>
        <color theme="5" tint="0.39997558519241921"/>
      </colorScale>
    </cfRule>
  </conditionalFormatting>
  <conditionalFormatting sqref="B127:H127">
    <cfRule type="colorScale" priority="22">
      <colorScale>
        <cfvo type="min"/>
        <cfvo type="max"/>
        <color theme="6" tint="0.79998168889431442"/>
        <color theme="5" tint="0.39997558519241921"/>
      </colorScale>
    </cfRule>
  </conditionalFormatting>
  <conditionalFormatting sqref="B137:F137">
    <cfRule type="colorScale" priority="21">
      <colorScale>
        <cfvo type="min"/>
        <cfvo type="max"/>
        <color theme="6" tint="0.79998168889431442"/>
        <color theme="5" tint="0.39997558519241921"/>
      </colorScale>
    </cfRule>
  </conditionalFormatting>
  <conditionalFormatting sqref="A146:L146">
    <cfRule type="colorScale" priority="20">
      <colorScale>
        <cfvo type="min"/>
        <cfvo type="max"/>
        <color theme="6" tint="0.79998168889431442"/>
        <color theme="5" tint="0.39997558519241921"/>
      </colorScale>
    </cfRule>
  </conditionalFormatting>
  <conditionalFormatting sqref="A142:P143">
    <cfRule type="colorScale" priority="19">
      <colorScale>
        <cfvo type="min"/>
        <cfvo type="max"/>
        <color theme="6" tint="0.79998168889431442"/>
        <color theme="5" tint="0.39997558519241921"/>
      </colorScale>
    </cfRule>
  </conditionalFormatting>
  <conditionalFormatting sqref="A155:I155">
    <cfRule type="colorScale" priority="18">
      <colorScale>
        <cfvo type="min"/>
        <cfvo type="max"/>
        <color theme="6" tint="0.79998168889431442"/>
        <color theme="5" tint="0.39997558519241921"/>
      </colorScale>
    </cfRule>
  </conditionalFormatting>
  <conditionalFormatting sqref="B7:D7">
    <cfRule type="colorScale" priority="17">
      <colorScale>
        <cfvo type="min"/>
        <cfvo type="max"/>
        <color theme="6" tint="0.79998168889431442"/>
        <color theme="5" tint="0.39997558519241921"/>
      </colorScale>
    </cfRule>
  </conditionalFormatting>
  <conditionalFormatting sqref="B12:C12">
    <cfRule type="colorScale" priority="16">
      <colorScale>
        <cfvo type="min"/>
        <cfvo type="max"/>
        <color theme="6" tint="0.79998168889431442"/>
        <color theme="5" tint="0.39997558519241921"/>
      </colorScale>
    </cfRule>
  </conditionalFormatting>
  <conditionalFormatting sqref="C17:D17">
    <cfRule type="colorScale" priority="15">
      <colorScale>
        <cfvo type="min"/>
        <cfvo type="max"/>
        <color theme="6" tint="0.79998168889431442"/>
        <color theme="5" tint="0.39997558519241921"/>
      </colorScale>
    </cfRule>
  </conditionalFormatting>
  <conditionalFormatting sqref="B22:I22">
    <cfRule type="colorScale" priority="14">
      <colorScale>
        <cfvo type="min"/>
        <cfvo type="max"/>
        <color theme="6" tint="0.79998168889431442"/>
        <color theme="5" tint="0.39997558519241921"/>
      </colorScale>
    </cfRule>
  </conditionalFormatting>
  <conditionalFormatting sqref="B30:C30">
    <cfRule type="colorScale" priority="13">
      <colorScale>
        <cfvo type="min"/>
        <cfvo type="max"/>
        <color theme="6" tint="0.79998168889431442"/>
        <color theme="5" tint="0.39997558519241921"/>
      </colorScale>
    </cfRule>
  </conditionalFormatting>
  <conditionalFormatting sqref="B50:C50">
    <cfRule type="colorScale" priority="12">
      <colorScale>
        <cfvo type="min"/>
        <cfvo type="max"/>
        <color theme="6" tint="0.79998168889431442"/>
        <color theme="5" tint="0.39997558519241921"/>
      </colorScale>
    </cfRule>
  </conditionalFormatting>
  <conditionalFormatting sqref="C71:F71">
    <cfRule type="colorScale" priority="11">
      <colorScale>
        <cfvo type="min"/>
        <cfvo type="max"/>
        <color theme="6" tint="0.79998168889431442"/>
        <color theme="5" tint="0.39997558519241921"/>
      </colorScale>
    </cfRule>
  </conditionalFormatting>
  <conditionalFormatting sqref="C71:G71">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C86:G86">
    <cfRule type="colorScale" priority="8">
      <colorScale>
        <cfvo type="min"/>
        <cfvo type="max"/>
        <color theme="6" tint="0.79998168889431442"/>
        <color theme="5" tint="0.39997558519241921"/>
      </colorScale>
    </cfRule>
  </conditionalFormatting>
  <conditionalFormatting sqref="B92:C92">
    <cfRule type="colorScale" priority="7">
      <colorScale>
        <cfvo type="min"/>
        <cfvo type="max"/>
        <color theme="6" tint="0.79998168889431442"/>
        <color theme="5" tint="0.39997558519241921"/>
      </colorScale>
    </cfRule>
  </conditionalFormatting>
  <conditionalFormatting sqref="B92:C92">
    <cfRule type="colorScale" priority="6">
      <colorScale>
        <cfvo type="min"/>
        <cfvo type="max"/>
        <color theme="6" tint="0.79998168889431442"/>
        <color theme="5" tint="0.39997558519241921"/>
      </colorScale>
    </cfRule>
  </conditionalFormatting>
  <conditionalFormatting sqref="B113:G113">
    <cfRule type="colorScale" priority="5">
      <colorScale>
        <cfvo type="min"/>
        <cfvo type="max"/>
        <color theme="6" tint="0.79998168889431442"/>
        <color theme="5" tint="0.39997558519241921"/>
      </colorScale>
    </cfRule>
  </conditionalFormatting>
  <conditionalFormatting sqref="B132:C132">
    <cfRule type="colorScale" priority="4">
      <colorScale>
        <cfvo type="min"/>
        <cfvo type="max"/>
        <color theme="6" tint="0.79998168889431442"/>
        <color theme="5" tint="0.39997558519241921"/>
      </colorScale>
    </cfRule>
  </conditionalFormatting>
  <conditionalFormatting sqref="B150:C150">
    <cfRule type="colorScale" priority="3">
      <colorScale>
        <cfvo type="min"/>
        <cfvo type="max"/>
        <color theme="6" tint="0.79998168889431442"/>
        <color theme="5" tint="0.39997558519241921"/>
      </colorScale>
    </cfRule>
  </conditionalFormatting>
  <conditionalFormatting sqref="C45:K45">
    <cfRule type="colorScale" priority="2">
      <colorScale>
        <cfvo type="min"/>
        <cfvo type="max"/>
        <color theme="6" tint="0.79998168889431442"/>
        <color theme="5" tint="0.39997558519241921"/>
      </colorScale>
    </cfRule>
  </conditionalFormatting>
  <conditionalFormatting sqref="C107:I10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VW18"/>
  <sheetViews>
    <sheetView zoomScaleNormal="100" workbookViewId="0">
      <pane xSplit="1" ySplit="1" topLeftCell="H2" activePane="bottomRight" state="frozen"/>
      <selection pane="topRight" activeCell="B1" sqref="B1"/>
      <selection pane="bottomLeft" activeCell="A2" sqref="A2"/>
      <selection pane="bottomRight" activeCell="QN15" sqref="QN15"/>
    </sheetView>
  </sheetViews>
  <sheetFormatPr defaultColWidth="8.81640625" defaultRowHeight="14" x14ac:dyDescent="0.3"/>
  <cols>
    <col min="1" max="1" width="17.08984375" style="1" customWidth="1"/>
    <col min="2" max="4" width="8.81640625" style="1"/>
    <col min="5" max="5" width="11.08984375" style="1" bestFit="1" customWidth="1"/>
    <col min="6" max="7" width="8.81640625" style="1"/>
    <col min="8" max="8" width="8.81640625" style="1" bestFit="1" customWidth="1"/>
    <col min="9" max="12" width="8.81640625" style="1"/>
    <col min="13" max="13" width="16.08984375" style="1" customWidth="1"/>
    <col min="14" max="14" width="8.81640625" style="1"/>
    <col min="15" max="19" width="8.81640625" style="1" bestFit="1" customWidth="1"/>
    <col min="20" max="21" width="8.81640625" style="1"/>
    <col min="22" max="22" width="8.81640625" style="1" bestFit="1" customWidth="1"/>
    <col min="23" max="39" width="8.81640625" style="1"/>
    <col min="40" max="40" width="11.6328125" style="1" customWidth="1"/>
    <col min="41" max="41" width="11.54296875" style="1" customWidth="1"/>
    <col min="42" max="42" width="8.81640625" style="1"/>
    <col min="43" max="43" width="8.81640625" style="1" bestFit="1" customWidth="1"/>
    <col min="44" max="46" width="8.81640625" style="1"/>
    <col min="47" max="47" width="12.36328125" style="1" customWidth="1"/>
    <col min="48" max="50" width="8.81640625" style="1"/>
    <col min="51" max="58" width="8.81640625" style="1" bestFit="1" customWidth="1"/>
    <col min="59" max="60" width="8.81640625" style="1"/>
    <col min="61" max="67" width="8.81640625" style="1" bestFit="1" customWidth="1"/>
    <col min="68" max="69" width="8.81640625" style="1"/>
    <col min="70" max="81" width="8.81640625" style="1" bestFit="1" customWidth="1"/>
    <col min="82" max="446" width="8.81640625" style="1"/>
    <col min="447" max="460" width="8.81640625" style="1" bestFit="1" customWidth="1"/>
    <col min="461" max="463" width="8.81640625" style="1"/>
    <col min="464" max="469" width="8.81640625" style="1" bestFit="1" customWidth="1"/>
    <col min="470" max="478" width="8.81640625" style="1"/>
    <col min="479" max="479" width="8.81640625" style="1" bestFit="1" customWidth="1"/>
    <col min="480" max="482" width="8.81640625" style="1"/>
    <col min="483" max="492" width="8.81640625" style="1" bestFit="1" customWidth="1"/>
    <col min="493" max="503" width="8.81640625" style="1"/>
    <col min="504" max="511" width="8.81640625" style="1" bestFit="1" customWidth="1"/>
    <col min="512" max="512" width="8.81640625" style="1"/>
    <col min="513" max="524" width="8.81640625" style="1" bestFit="1" customWidth="1"/>
    <col min="525" max="556" width="8.81640625" style="1"/>
    <col min="557" max="561" width="8.81640625" style="1" bestFit="1" customWidth="1"/>
    <col min="562" max="566" width="8.81640625" style="1"/>
    <col min="567" max="582" width="8.81640625" style="1" bestFit="1" customWidth="1"/>
    <col min="583" max="584" width="8.81640625" style="1"/>
    <col min="585" max="597" width="8.81640625" style="1" bestFit="1" customWidth="1"/>
    <col min="598" max="632" width="8.81640625" style="1"/>
    <col min="633" max="645" width="8.81640625" style="1" bestFit="1" customWidth="1"/>
    <col min="646" max="649" width="8.81640625" style="1"/>
    <col min="650" max="657" width="8.81640625" style="1" bestFit="1" customWidth="1"/>
    <col min="658" max="663" width="8.81640625" style="1"/>
    <col min="664" max="671" width="8.81640625" style="1" bestFit="1" customWidth="1"/>
    <col min="672" max="674" width="8.81640625" style="1"/>
    <col min="675" max="679" width="8.81640625" style="1" bestFit="1" customWidth="1"/>
    <col min="680" max="681" width="8.81640625" style="1"/>
    <col min="682" max="682" width="8.81640625" style="1" bestFit="1" customWidth="1"/>
    <col min="683" max="687" width="8.81640625" style="1"/>
    <col min="688" max="688" width="8.81640625" style="1" bestFit="1" customWidth="1"/>
    <col min="689" max="695" width="8.81640625" style="1"/>
    <col min="696" max="696" width="8.81640625" style="1" bestFit="1" customWidth="1"/>
    <col min="697" max="699" width="8.81640625" style="1"/>
    <col min="700" max="700" width="8.81640625" style="1" bestFit="1" customWidth="1"/>
    <col min="701" max="707" width="8.81640625" style="1"/>
    <col min="708" max="715" width="8.81640625" style="1" bestFit="1" customWidth="1"/>
    <col min="716" max="739" width="8.81640625" style="1"/>
    <col min="740" max="744" width="8.81640625" style="1" bestFit="1" customWidth="1"/>
    <col min="745" max="746" width="8.81640625" style="1"/>
    <col min="747" max="758" width="8.81640625" style="1" bestFit="1" customWidth="1"/>
    <col min="759" max="759" width="8.81640625" style="1"/>
    <col min="760" max="760" width="8.81640625" style="1" bestFit="1" customWidth="1"/>
    <col min="761" max="773" width="8.81640625" style="1"/>
    <col min="774" max="778" width="8.81640625" style="1" bestFit="1" customWidth="1"/>
    <col min="779" max="779" width="8.81640625" style="1"/>
    <col min="780" max="781" width="8.81640625" style="1" bestFit="1" customWidth="1"/>
    <col min="782" max="784" width="8.81640625" style="1"/>
    <col min="785" max="791" width="8.81640625" style="1" bestFit="1" customWidth="1"/>
    <col min="792" max="802" width="8.81640625" style="1"/>
    <col min="803" max="807" width="8.81640625" style="1" bestFit="1" customWidth="1"/>
    <col min="808" max="826" width="8.81640625" style="1"/>
    <col min="827" max="831" width="8.81640625" style="1" bestFit="1" customWidth="1"/>
    <col min="832" max="849" width="8.81640625" style="1"/>
    <col min="850" max="854" width="8.81640625" style="1" bestFit="1" customWidth="1"/>
    <col min="855" max="858" width="8.81640625" style="1"/>
    <col min="859" max="863" width="8.81640625" style="1" bestFit="1" customWidth="1"/>
    <col min="864" max="865" width="8.81640625" style="1"/>
    <col min="866" max="870" width="8.81640625" style="1" bestFit="1" customWidth="1"/>
    <col min="871" max="907" width="8.81640625" style="1"/>
    <col min="908" max="912" width="8.81640625" style="1" bestFit="1" customWidth="1"/>
    <col min="913" max="914" width="8.81640625" style="1"/>
    <col min="915" max="925" width="8.81640625" style="1" bestFit="1" customWidth="1"/>
    <col min="926" max="927" width="8.81640625" style="1"/>
    <col min="928" max="940" width="8.81640625" style="1" bestFit="1" customWidth="1"/>
    <col min="941" max="943" width="8.81640625" style="1"/>
    <col min="944" max="950" width="8.81640625" style="1" bestFit="1" customWidth="1"/>
    <col min="951" max="952" width="8.81640625" style="1"/>
    <col min="953" max="964" width="8.81640625" style="1" bestFit="1" customWidth="1"/>
    <col min="965" max="974" width="8.81640625" style="1"/>
    <col min="975" max="986" width="8.81640625" style="1" bestFit="1" customWidth="1"/>
    <col min="987" max="988" width="8.81640625" style="1"/>
    <col min="989" max="989" width="8.81640625" style="1" bestFit="1" customWidth="1"/>
    <col min="990" max="1010" width="8.81640625" style="1"/>
    <col min="1011" max="1018" width="8.81640625" style="1" bestFit="1" customWidth="1"/>
    <col min="1019" max="1020" width="8.81640625" style="1"/>
    <col min="1021" max="1027" width="8.81640625" style="1" bestFit="1" customWidth="1"/>
    <col min="1028" max="1028" width="8.81640625" style="1"/>
    <col min="1029" max="1033" width="8.81640625" style="1" bestFit="1" customWidth="1"/>
    <col min="1034" max="1044" width="8.81640625" style="1"/>
    <col min="1045" max="1045" width="8.81640625" style="1" bestFit="1" customWidth="1"/>
    <col min="1046" max="1059" width="8.81640625" style="1"/>
    <col min="1060" max="1070" width="8.81640625" style="1" bestFit="1" customWidth="1"/>
    <col min="1071" max="1074" width="8.81640625" style="1"/>
    <col min="1075" max="1082" width="8.81640625" style="1" bestFit="1" customWidth="1"/>
    <col min="1083" max="1087" width="8.81640625" style="1"/>
    <col min="1088" max="1088" width="8.81640625" style="1" bestFit="1" customWidth="1"/>
    <col min="1089" max="1089" width="8.81640625" style="1"/>
    <col min="1090" max="1097" width="8.81640625" style="1" bestFit="1" customWidth="1"/>
    <col min="1098" max="1103" width="8.81640625" style="1"/>
    <col min="1104" max="1104" width="8.81640625" style="1" bestFit="1" customWidth="1"/>
    <col min="1105" max="1126" width="8.81640625" style="1"/>
    <col min="1127" max="1132" width="8.81640625" style="1" bestFit="1" customWidth="1"/>
    <col min="1133" max="1139" width="8.81640625" style="1"/>
    <col min="1140" max="1140" width="8.81640625" style="1" bestFit="1" customWidth="1"/>
    <col min="1141" max="1159" width="8.81640625" style="1"/>
    <col min="1160" max="1171" width="8.81640625" style="1" bestFit="1" customWidth="1"/>
    <col min="1172" max="1173" width="8.81640625" style="1"/>
    <col min="1174" max="1180" width="8.81640625" style="1" bestFit="1" customWidth="1"/>
    <col min="1181" max="1192" width="8.81640625" style="1"/>
    <col min="1193" max="1197" width="8.81640625" style="1" bestFit="1" customWidth="1"/>
    <col min="1198" max="1199" width="8.81640625" style="1"/>
    <col min="1200" max="1212" width="8.81640625" style="1" bestFit="1" customWidth="1"/>
    <col min="1213" max="1214" width="8.81640625" style="1"/>
    <col min="1215" max="1231" width="8.81640625" style="1" bestFit="1" customWidth="1"/>
    <col min="1232" max="1263" width="8.81640625" style="1"/>
    <col min="1264" max="1272" width="8.81640625" style="1" bestFit="1" customWidth="1"/>
    <col min="1273" max="1321" width="8.81640625" style="1"/>
    <col min="1322" max="1322" width="9" style="1" bestFit="1" customWidth="1"/>
    <col min="1323" max="1324" width="8.81640625" style="1"/>
    <col min="1325" max="1325" width="8.81640625" style="1" bestFit="1" customWidth="1"/>
    <col min="1326" max="16384" width="8.81640625" style="1"/>
  </cols>
  <sheetData>
    <row r="1" spans="1:1271"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57"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57"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x14ac:dyDescent="0.3">
      <c r="A2" s="1" t="s">
        <v>2848</v>
      </c>
      <c r="B2" s="1" t="s">
        <v>2849</v>
      </c>
      <c r="C2" s="1" t="s">
        <v>2850</v>
      </c>
      <c r="D2" s="1" t="s">
        <v>2851</v>
      </c>
      <c r="E2" s="2">
        <v>356676102907869</v>
      </c>
      <c r="F2" s="1" t="s">
        <v>2851</v>
      </c>
      <c r="H2" s="2"/>
      <c r="I2" s="1" t="s">
        <v>1659</v>
      </c>
      <c r="J2" s="1" t="s">
        <v>2852</v>
      </c>
      <c r="K2" s="1" t="s">
        <v>2852</v>
      </c>
      <c r="N2" s="1" t="s">
        <v>1170</v>
      </c>
      <c r="O2" s="2">
        <v>0</v>
      </c>
      <c r="P2" s="2">
        <v>0</v>
      </c>
      <c r="Q2" s="2">
        <v>1</v>
      </c>
      <c r="R2" s="2">
        <v>0</v>
      </c>
      <c r="S2" s="2">
        <v>0</v>
      </c>
      <c r="ZS2" s="1" t="s">
        <v>2959</v>
      </c>
      <c r="ZT2" s="1" t="s">
        <v>1171</v>
      </c>
      <c r="ZV2" s="1" t="s">
        <v>1179</v>
      </c>
      <c r="ZX2" s="1" t="s">
        <v>1156</v>
      </c>
      <c r="ABE2" s="1" t="s">
        <v>1173</v>
      </c>
      <c r="ABF2" s="2">
        <v>1</v>
      </c>
      <c r="ABG2" s="2">
        <v>0</v>
      </c>
      <c r="ABH2" s="2">
        <v>0</v>
      </c>
      <c r="ABI2" s="2">
        <v>0</v>
      </c>
      <c r="ABJ2" s="2">
        <v>0</v>
      </c>
      <c r="ABL2" s="1" t="s">
        <v>1159</v>
      </c>
      <c r="ABM2" s="2">
        <v>0</v>
      </c>
      <c r="ABN2" s="2">
        <v>0</v>
      </c>
      <c r="ABO2" s="2">
        <v>1</v>
      </c>
      <c r="ABP2" s="2">
        <v>0</v>
      </c>
      <c r="ABQ2" s="2">
        <v>0</v>
      </c>
      <c r="ABR2" s="2">
        <v>0</v>
      </c>
      <c r="ABS2" s="2">
        <v>0</v>
      </c>
      <c r="ABT2" s="2">
        <v>0</v>
      </c>
      <c r="ABU2" s="2">
        <v>0</v>
      </c>
      <c r="ABV2" s="2">
        <v>0</v>
      </c>
      <c r="ABW2" s="2">
        <v>0</v>
      </c>
      <c r="ABX2" s="2">
        <v>0</v>
      </c>
      <c r="ABZ2" s="2">
        <v>6</v>
      </c>
      <c r="ACA2" s="1" t="s">
        <v>1155</v>
      </c>
      <c r="ACJ2" s="1" t="s">
        <v>1155</v>
      </c>
      <c r="ACM2" s="1" t="s">
        <v>1155</v>
      </c>
      <c r="ACN2" s="2">
        <v>169</v>
      </c>
      <c r="ACO2" s="2">
        <v>63</v>
      </c>
      <c r="ACP2" s="2">
        <v>106</v>
      </c>
      <c r="ACQ2" s="2">
        <v>106</v>
      </c>
      <c r="ACR2" s="2">
        <v>169</v>
      </c>
      <c r="ACT2" s="2">
        <v>7</v>
      </c>
      <c r="ACU2" s="2">
        <v>14</v>
      </c>
      <c r="ACV2" s="1" t="s">
        <v>1156</v>
      </c>
      <c r="ACW2" s="1" t="s">
        <v>1186</v>
      </c>
      <c r="ACX2" s="1" t="s">
        <v>1844</v>
      </c>
      <c r="ACY2" s="2">
        <v>0</v>
      </c>
      <c r="ACZ2" s="2">
        <v>0</v>
      </c>
      <c r="ADA2" s="2">
        <v>0</v>
      </c>
      <c r="ADB2" s="2">
        <v>0</v>
      </c>
      <c r="ADC2" s="2">
        <v>0</v>
      </c>
      <c r="ADD2" s="2">
        <v>0</v>
      </c>
      <c r="ADE2" s="2">
        <v>1</v>
      </c>
      <c r="ADQ2" s="2">
        <v>0</v>
      </c>
      <c r="ADR2" s="2">
        <v>0</v>
      </c>
      <c r="ADS2" s="2">
        <v>0</v>
      </c>
      <c r="ADT2" s="2">
        <v>0</v>
      </c>
      <c r="ADU2" s="2">
        <v>0</v>
      </c>
      <c r="ADW2" s="1" t="s">
        <v>1162</v>
      </c>
      <c r="AEO2" s="2">
        <v>0</v>
      </c>
      <c r="AEP2" s="2">
        <v>0</v>
      </c>
      <c r="AEQ2" s="2">
        <v>0</v>
      </c>
      <c r="AER2" s="2">
        <v>0</v>
      </c>
      <c r="AES2" s="2">
        <v>0</v>
      </c>
      <c r="AEU2" s="1" t="s">
        <v>1162</v>
      </c>
      <c r="AFL2" s="2">
        <v>2</v>
      </c>
      <c r="AFM2" s="2">
        <v>0</v>
      </c>
      <c r="AFN2" s="2">
        <v>2</v>
      </c>
      <c r="AFO2" s="2">
        <v>2</v>
      </c>
      <c r="AFP2" s="2">
        <v>2</v>
      </c>
      <c r="AFR2" s="1" t="s">
        <v>1156</v>
      </c>
      <c r="AFS2" s="1" t="s">
        <v>1186</v>
      </c>
      <c r="AFT2" s="1" t="s">
        <v>2853</v>
      </c>
      <c r="AFU2" s="2">
        <v>0</v>
      </c>
      <c r="AFV2" s="2">
        <v>1</v>
      </c>
      <c r="AFW2" s="2">
        <v>0</v>
      </c>
      <c r="AFX2" s="2">
        <v>0</v>
      </c>
      <c r="AFY2" s="2">
        <v>0</v>
      </c>
      <c r="AGH2" s="1" t="s">
        <v>1187</v>
      </c>
      <c r="AGI2" s="1" t="s">
        <v>1174</v>
      </c>
      <c r="AGJ2" s="1" t="s">
        <v>1155</v>
      </c>
      <c r="AHQ2" s="1" t="s">
        <v>1164</v>
      </c>
      <c r="AHR2" s="2">
        <v>0</v>
      </c>
      <c r="AHS2" s="2">
        <v>0</v>
      </c>
      <c r="AHT2" s="2">
        <v>0</v>
      </c>
      <c r="AHU2" s="2">
        <v>0</v>
      </c>
      <c r="AHV2" s="2">
        <v>1</v>
      </c>
      <c r="AHX2" s="1" t="s">
        <v>2854</v>
      </c>
      <c r="AHY2" s="2">
        <v>0</v>
      </c>
      <c r="AHZ2" s="2">
        <v>1</v>
      </c>
      <c r="AIA2" s="2">
        <v>1</v>
      </c>
      <c r="AIB2" s="2">
        <v>1</v>
      </c>
      <c r="AIC2" s="2">
        <v>0</v>
      </c>
      <c r="AID2" s="2">
        <v>0</v>
      </c>
      <c r="AIE2" s="2">
        <v>0</v>
      </c>
      <c r="AIF2" s="2">
        <v>0</v>
      </c>
      <c r="AIG2" s="2">
        <v>0</v>
      </c>
      <c r="AIH2" s="2">
        <v>0</v>
      </c>
      <c r="AII2" s="2">
        <v>1</v>
      </c>
      <c r="AIJ2" s="1" t="s">
        <v>2960</v>
      </c>
      <c r="AIK2" s="1" t="s">
        <v>2855</v>
      </c>
      <c r="AIL2" s="2">
        <v>0</v>
      </c>
      <c r="AIM2" s="2">
        <v>0</v>
      </c>
      <c r="AIN2" s="2">
        <v>0</v>
      </c>
      <c r="AIO2" s="2">
        <v>0</v>
      </c>
      <c r="AIP2" s="2">
        <v>1</v>
      </c>
      <c r="AIQ2" s="2">
        <v>0</v>
      </c>
      <c r="AIR2" s="2">
        <v>1</v>
      </c>
      <c r="AIS2" s="2">
        <v>1</v>
      </c>
      <c r="AIT2" s="2">
        <v>0</v>
      </c>
      <c r="AIU2" s="2">
        <v>0</v>
      </c>
      <c r="AIV2" s="2">
        <v>0</v>
      </c>
      <c r="AIW2" s="2">
        <v>0</v>
      </c>
      <c r="AIX2" s="2">
        <v>1</v>
      </c>
      <c r="AIZ2" s="1" t="s">
        <v>1156</v>
      </c>
      <c r="AJA2" s="1" t="s">
        <v>1158</v>
      </c>
      <c r="AJB2" s="2">
        <v>0</v>
      </c>
      <c r="AJC2" s="2">
        <v>0</v>
      </c>
      <c r="AJD2" s="2">
        <v>0</v>
      </c>
      <c r="AJE2" s="2">
        <v>0</v>
      </c>
      <c r="AJF2" s="2">
        <v>1</v>
      </c>
      <c r="AJG2" s="2">
        <v>0</v>
      </c>
      <c r="AJH2" s="2">
        <v>0</v>
      </c>
      <c r="AJJ2" s="1" t="s">
        <v>2856</v>
      </c>
      <c r="AJK2" s="2">
        <v>0</v>
      </c>
      <c r="AJL2" s="2">
        <v>0</v>
      </c>
      <c r="AJM2" s="2">
        <v>0</v>
      </c>
      <c r="AJN2" s="2">
        <v>0</v>
      </c>
      <c r="AJO2" s="2">
        <v>0</v>
      </c>
      <c r="AJP2" s="2">
        <v>0</v>
      </c>
      <c r="AJQ2" s="2">
        <v>0</v>
      </c>
      <c r="AJR2" s="2">
        <v>1</v>
      </c>
      <c r="AJS2" s="2">
        <v>0</v>
      </c>
      <c r="AJT2" s="2">
        <v>0</v>
      </c>
      <c r="AJU2" s="2">
        <v>0</v>
      </c>
      <c r="AJV2" s="2">
        <v>1</v>
      </c>
      <c r="AJW2" s="1" t="s">
        <v>2963</v>
      </c>
      <c r="AJX2" s="1" t="s">
        <v>1156</v>
      </c>
      <c r="AKF2" s="1" t="s">
        <v>2857</v>
      </c>
      <c r="AKG2" s="2">
        <v>1</v>
      </c>
      <c r="AKH2" s="2">
        <v>0</v>
      </c>
      <c r="AKI2" s="2">
        <v>1</v>
      </c>
      <c r="AKJ2" s="2">
        <v>1</v>
      </c>
      <c r="AKK2" s="2">
        <v>0</v>
      </c>
      <c r="AKL2" s="2">
        <v>1</v>
      </c>
      <c r="AKM2" s="2">
        <v>1</v>
      </c>
      <c r="AKN2" s="2">
        <v>1</v>
      </c>
      <c r="AKO2" s="2">
        <v>0</v>
      </c>
      <c r="AKP2" s="2">
        <v>0</v>
      </c>
      <c r="AKQ2" s="2">
        <v>0</v>
      </c>
      <c r="AKR2" s="2">
        <v>0</v>
      </c>
      <c r="AVT2" s="1">
        <v>136623063</v>
      </c>
      <c r="AVU2" s="1" t="s">
        <v>2858</v>
      </c>
      <c r="AVW2" s="1">
        <v>283</v>
      </c>
    </row>
    <row r="3" spans="1:1271" x14ac:dyDescent="0.3">
      <c r="A3" s="1" t="s">
        <v>2859</v>
      </c>
      <c r="B3" s="1" t="s">
        <v>2860</v>
      </c>
      <c r="C3" s="1" t="s">
        <v>2861</v>
      </c>
      <c r="D3" s="1" t="s">
        <v>2851</v>
      </c>
      <c r="E3" s="2">
        <v>356676102907869</v>
      </c>
      <c r="F3" s="1" t="s">
        <v>2851</v>
      </c>
      <c r="H3" s="2"/>
      <c r="I3" s="1" t="s">
        <v>1659</v>
      </c>
      <c r="J3" s="1" t="s">
        <v>2852</v>
      </c>
      <c r="K3" s="1" t="s">
        <v>2852</v>
      </c>
      <c r="N3" s="1" t="s">
        <v>1153</v>
      </c>
      <c r="O3" s="2">
        <v>1</v>
      </c>
      <c r="P3" s="2">
        <v>0</v>
      </c>
      <c r="Q3" s="2">
        <v>0</v>
      </c>
      <c r="R3" s="2">
        <v>0</v>
      </c>
      <c r="S3" s="2">
        <v>0</v>
      </c>
      <c r="U3" s="1" t="s">
        <v>2277</v>
      </c>
      <c r="W3" s="1" t="s">
        <v>1155</v>
      </c>
      <c r="X3" s="1" t="s">
        <v>1156</v>
      </c>
      <c r="AN3" s="1" t="s">
        <v>1192</v>
      </c>
      <c r="AO3" s="2">
        <v>80</v>
      </c>
      <c r="AP3" s="1" t="s">
        <v>2559</v>
      </c>
      <c r="AR3" s="1" t="s">
        <v>1710</v>
      </c>
      <c r="AS3" s="1" t="s">
        <v>1833</v>
      </c>
      <c r="AT3" s="1" t="s">
        <v>1155</v>
      </c>
      <c r="BO3" s="1" t="s">
        <v>1159</v>
      </c>
      <c r="BP3" s="2">
        <v>0</v>
      </c>
      <c r="BQ3" s="2">
        <v>0</v>
      </c>
      <c r="BR3" s="2">
        <v>1</v>
      </c>
      <c r="BS3" s="2">
        <v>0</v>
      </c>
      <c r="BT3" s="2">
        <v>0</v>
      </c>
      <c r="BU3" s="2">
        <v>0</v>
      </c>
      <c r="BV3" s="2">
        <v>0</v>
      </c>
      <c r="BW3" s="2">
        <v>0</v>
      </c>
      <c r="BX3" s="2">
        <v>0</v>
      </c>
      <c r="BY3" s="2">
        <v>0</v>
      </c>
      <c r="BZ3" s="2">
        <v>0</v>
      </c>
      <c r="CA3" s="2">
        <v>0</v>
      </c>
      <c r="CC3" s="1" t="s">
        <v>1155</v>
      </c>
      <c r="DQ3" s="1" t="s">
        <v>1164</v>
      </c>
      <c r="DR3" s="2">
        <v>0</v>
      </c>
      <c r="DS3" s="2">
        <v>0</v>
      </c>
      <c r="DT3" s="2">
        <v>0</v>
      </c>
      <c r="DU3" s="2">
        <v>0</v>
      </c>
      <c r="DV3" s="2">
        <v>1</v>
      </c>
      <c r="DX3" s="1" t="s">
        <v>2147</v>
      </c>
      <c r="DY3" s="2">
        <v>0</v>
      </c>
      <c r="DZ3" s="2">
        <v>0</v>
      </c>
      <c r="EA3" s="2">
        <v>0</v>
      </c>
      <c r="EB3" s="2">
        <v>0</v>
      </c>
      <c r="EC3" s="2">
        <v>0</v>
      </c>
      <c r="ED3" s="2">
        <v>0</v>
      </c>
      <c r="EE3" s="2">
        <v>0</v>
      </c>
      <c r="EF3" s="2">
        <v>1</v>
      </c>
      <c r="EG3" s="2">
        <v>0</v>
      </c>
      <c r="EH3" s="2">
        <v>0</v>
      </c>
      <c r="EI3" s="2">
        <v>0</v>
      </c>
      <c r="EJ3" s="2">
        <v>0</v>
      </c>
      <c r="EK3" s="2">
        <v>0</v>
      </c>
      <c r="EM3" s="1" t="s">
        <v>2862</v>
      </c>
      <c r="EN3" s="2">
        <v>0</v>
      </c>
      <c r="EO3" s="2">
        <v>0</v>
      </c>
      <c r="EP3" s="2">
        <v>0</v>
      </c>
      <c r="EQ3" s="2">
        <v>0</v>
      </c>
      <c r="ER3" s="2">
        <v>1</v>
      </c>
      <c r="ES3" s="2">
        <v>1</v>
      </c>
      <c r="ET3" s="2">
        <v>1</v>
      </c>
      <c r="EU3" s="2">
        <v>1</v>
      </c>
      <c r="EV3" s="2">
        <v>0</v>
      </c>
      <c r="EW3" s="2">
        <v>0</v>
      </c>
      <c r="EX3" s="2">
        <v>0</v>
      </c>
      <c r="EY3" s="2">
        <v>0</v>
      </c>
      <c r="EZ3" s="2">
        <v>0</v>
      </c>
      <c r="FB3" s="1" t="s">
        <v>1155</v>
      </c>
      <c r="GI3" s="1" t="s">
        <v>2863</v>
      </c>
      <c r="GJ3" s="2">
        <v>0</v>
      </c>
      <c r="GK3" s="2">
        <v>1</v>
      </c>
      <c r="GL3" s="2">
        <v>0</v>
      </c>
      <c r="GM3" s="2">
        <v>0</v>
      </c>
      <c r="GN3" s="2">
        <v>0</v>
      </c>
      <c r="GO3" s="2">
        <v>0</v>
      </c>
      <c r="GP3" s="2">
        <v>1</v>
      </c>
      <c r="GQ3" s="2">
        <v>1</v>
      </c>
      <c r="GR3" s="2">
        <v>0</v>
      </c>
      <c r="GS3" s="2">
        <v>0</v>
      </c>
      <c r="GT3" s="2">
        <v>0</v>
      </c>
      <c r="GU3" s="2">
        <v>0</v>
      </c>
      <c r="GV3" s="2">
        <v>0</v>
      </c>
      <c r="AVT3" s="1">
        <v>136623089</v>
      </c>
      <c r="AVU3" s="1" t="s">
        <v>2555</v>
      </c>
      <c r="AVW3" s="1">
        <v>285</v>
      </c>
    </row>
    <row r="4" spans="1:1271" x14ac:dyDescent="0.3">
      <c r="A4" s="1" t="s">
        <v>2864</v>
      </c>
      <c r="B4" s="1" t="s">
        <v>2865</v>
      </c>
      <c r="C4" s="1" t="s">
        <v>2866</v>
      </c>
      <c r="D4" s="1" t="s">
        <v>2851</v>
      </c>
      <c r="E4" s="2">
        <v>356676102907869</v>
      </c>
      <c r="F4" s="1" t="s">
        <v>2851</v>
      </c>
      <c r="H4" s="2"/>
      <c r="I4" s="1" t="s">
        <v>1659</v>
      </c>
      <c r="J4" s="1" t="s">
        <v>2852</v>
      </c>
      <c r="K4" s="1" t="s">
        <v>2852</v>
      </c>
      <c r="N4" s="1" t="s">
        <v>1153</v>
      </c>
      <c r="O4" s="2">
        <v>1</v>
      </c>
      <c r="P4" s="2">
        <v>0</v>
      </c>
      <c r="Q4" s="2">
        <v>0</v>
      </c>
      <c r="R4" s="2">
        <v>0</v>
      </c>
      <c r="S4" s="2">
        <v>0</v>
      </c>
      <c r="U4" s="1" t="s">
        <v>2277</v>
      </c>
      <c r="W4" s="1" t="s">
        <v>1155</v>
      </c>
      <c r="X4" s="1" t="s">
        <v>1156</v>
      </c>
      <c r="AN4" s="1" t="s">
        <v>1192</v>
      </c>
      <c r="AO4" s="2">
        <v>120</v>
      </c>
      <c r="AP4" s="1" t="s">
        <v>2559</v>
      </c>
      <c r="AR4" s="1" t="s">
        <v>1801</v>
      </c>
      <c r="AS4" s="1" t="s">
        <v>1833</v>
      </c>
      <c r="AT4" s="1" t="s">
        <v>1155</v>
      </c>
      <c r="BO4" s="1" t="s">
        <v>1159</v>
      </c>
      <c r="BP4" s="2">
        <v>0</v>
      </c>
      <c r="BQ4" s="2">
        <v>0</v>
      </c>
      <c r="BR4" s="2">
        <v>1</v>
      </c>
      <c r="BS4" s="2">
        <v>0</v>
      </c>
      <c r="BT4" s="2">
        <v>0</v>
      </c>
      <c r="BU4" s="2">
        <v>0</v>
      </c>
      <c r="BV4" s="2">
        <v>0</v>
      </c>
      <c r="BW4" s="2">
        <v>0</v>
      </c>
      <c r="BX4" s="2">
        <v>0</v>
      </c>
      <c r="BY4" s="2">
        <v>0</v>
      </c>
      <c r="BZ4" s="2">
        <v>0</v>
      </c>
      <c r="CA4" s="2">
        <v>0</v>
      </c>
      <c r="CC4" s="1" t="s">
        <v>1155</v>
      </c>
      <c r="DQ4" s="1" t="s">
        <v>1164</v>
      </c>
      <c r="DR4" s="2">
        <v>0</v>
      </c>
      <c r="DS4" s="2">
        <v>0</v>
      </c>
      <c r="DT4" s="2">
        <v>0</v>
      </c>
      <c r="DU4" s="2">
        <v>0</v>
      </c>
      <c r="DV4" s="2">
        <v>1</v>
      </c>
      <c r="DX4" s="1" t="s">
        <v>2147</v>
      </c>
      <c r="DY4" s="2">
        <v>0</v>
      </c>
      <c r="DZ4" s="2">
        <v>0</v>
      </c>
      <c r="EA4" s="2">
        <v>0</v>
      </c>
      <c r="EB4" s="2">
        <v>0</v>
      </c>
      <c r="EC4" s="2">
        <v>0</v>
      </c>
      <c r="ED4" s="2">
        <v>0</v>
      </c>
      <c r="EE4" s="2">
        <v>0</v>
      </c>
      <c r="EF4" s="2">
        <v>1</v>
      </c>
      <c r="EG4" s="2">
        <v>0</v>
      </c>
      <c r="EH4" s="2">
        <v>0</v>
      </c>
      <c r="EI4" s="2">
        <v>0</v>
      </c>
      <c r="EJ4" s="2">
        <v>0</v>
      </c>
      <c r="EK4" s="2">
        <v>0</v>
      </c>
      <c r="EM4" s="1" t="s">
        <v>2148</v>
      </c>
      <c r="EN4" s="2">
        <v>0</v>
      </c>
      <c r="EO4" s="2">
        <v>0</v>
      </c>
      <c r="EP4" s="2">
        <v>0</v>
      </c>
      <c r="EQ4" s="2">
        <v>0</v>
      </c>
      <c r="ER4" s="2">
        <v>1</v>
      </c>
      <c r="ES4" s="2">
        <v>0</v>
      </c>
      <c r="ET4" s="2">
        <v>1</v>
      </c>
      <c r="EU4" s="2">
        <v>1</v>
      </c>
      <c r="EV4" s="2">
        <v>0</v>
      </c>
      <c r="EW4" s="2">
        <v>0</v>
      </c>
      <c r="EX4" s="2">
        <v>0</v>
      </c>
      <c r="EY4" s="2">
        <v>0</v>
      </c>
      <c r="EZ4" s="2">
        <v>0</v>
      </c>
      <c r="FB4" s="1" t="s">
        <v>1155</v>
      </c>
      <c r="GI4" s="1" t="s">
        <v>2867</v>
      </c>
      <c r="GJ4" s="2">
        <v>0</v>
      </c>
      <c r="GK4" s="2">
        <v>1</v>
      </c>
      <c r="GL4" s="2">
        <v>0</v>
      </c>
      <c r="GM4" s="2">
        <v>0</v>
      </c>
      <c r="GN4" s="2">
        <v>0</v>
      </c>
      <c r="GO4" s="2">
        <v>0</v>
      </c>
      <c r="GP4" s="2">
        <v>1</v>
      </c>
      <c r="GQ4" s="2">
        <v>1</v>
      </c>
      <c r="GR4" s="2">
        <v>0</v>
      </c>
      <c r="GS4" s="2">
        <v>0</v>
      </c>
      <c r="GT4" s="2">
        <v>0</v>
      </c>
      <c r="GU4" s="2">
        <v>0</v>
      </c>
      <c r="GV4" s="2">
        <v>0</v>
      </c>
      <c r="AVT4" s="1">
        <v>136623110</v>
      </c>
      <c r="AVU4" s="1" t="s">
        <v>2868</v>
      </c>
      <c r="AVW4" s="1">
        <v>287</v>
      </c>
    </row>
    <row r="5" spans="1:1271" x14ac:dyDescent="0.3">
      <c r="A5" s="1" t="s">
        <v>2869</v>
      </c>
      <c r="B5" s="1" t="s">
        <v>2870</v>
      </c>
      <c r="C5" s="1" t="s">
        <v>2871</v>
      </c>
      <c r="D5" s="1" t="s">
        <v>2851</v>
      </c>
      <c r="E5" s="2">
        <v>356676102908909</v>
      </c>
      <c r="F5" s="1" t="s">
        <v>2851</v>
      </c>
      <c r="H5" s="2"/>
      <c r="I5" s="1" t="s">
        <v>1659</v>
      </c>
      <c r="J5" s="1" t="s">
        <v>2852</v>
      </c>
      <c r="K5" s="1" t="s">
        <v>2852</v>
      </c>
      <c r="N5" s="1" t="s">
        <v>1153</v>
      </c>
      <c r="O5" s="2">
        <v>1</v>
      </c>
      <c r="P5" s="2">
        <v>0</v>
      </c>
      <c r="Q5" s="2">
        <v>0</v>
      </c>
      <c r="R5" s="2">
        <v>0</v>
      </c>
      <c r="S5" s="2">
        <v>0</v>
      </c>
      <c r="U5" s="1" t="s">
        <v>2277</v>
      </c>
      <c r="W5" s="1" t="s">
        <v>1155</v>
      </c>
      <c r="X5" s="1" t="s">
        <v>1156</v>
      </c>
      <c r="AN5" s="1" t="s">
        <v>1192</v>
      </c>
      <c r="AO5" s="2">
        <v>40</v>
      </c>
      <c r="AP5" s="1" t="s">
        <v>2559</v>
      </c>
      <c r="AR5" s="1" t="s">
        <v>1710</v>
      </c>
      <c r="AS5" s="1" t="s">
        <v>1164</v>
      </c>
      <c r="AT5" s="1" t="s">
        <v>1155</v>
      </c>
      <c r="BO5" s="1" t="s">
        <v>1679</v>
      </c>
      <c r="BP5" s="2">
        <v>0</v>
      </c>
      <c r="BQ5" s="2">
        <v>0</v>
      </c>
      <c r="BR5" s="2">
        <v>1</v>
      </c>
      <c r="BS5" s="2">
        <v>0</v>
      </c>
      <c r="BT5" s="2">
        <v>0</v>
      </c>
      <c r="BU5" s="2">
        <v>0</v>
      </c>
      <c r="BV5" s="2">
        <v>0</v>
      </c>
      <c r="BW5" s="2">
        <v>0</v>
      </c>
      <c r="BX5" s="2">
        <v>0</v>
      </c>
      <c r="BY5" s="2">
        <v>0</v>
      </c>
      <c r="BZ5" s="2">
        <v>0</v>
      </c>
      <c r="CA5" s="2">
        <v>1</v>
      </c>
      <c r="CC5" s="1" t="s">
        <v>1155</v>
      </c>
      <c r="DQ5" s="1" t="s">
        <v>1164</v>
      </c>
      <c r="DR5" s="2">
        <v>0</v>
      </c>
      <c r="DS5" s="2">
        <v>0</v>
      </c>
      <c r="DT5" s="2">
        <v>0</v>
      </c>
      <c r="DU5" s="2">
        <v>0</v>
      </c>
      <c r="DV5" s="2">
        <v>1</v>
      </c>
      <c r="DX5" s="1" t="s">
        <v>2147</v>
      </c>
      <c r="DY5" s="2">
        <v>0</v>
      </c>
      <c r="DZ5" s="2">
        <v>0</v>
      </c>
      <c r="EA5" s="2">
        <v>0</v>
      </c>
      <c r="EB5" s="2">
        <v>0</v>
      </c>
      <c r="EC5" s="2">
        <v>0</v>
      </c>
      <c r="ED5" s="2">
        <v>0</v>
      </c>
      <c r="EE5" s="2">
        <v>0</v>
      </c>
      <c r="EF5" s="2">
        <v>1</v>
      </c>
      <c r="EG5" s="2">
        <v>0</v>
      </c>
      <c r="EH5" s="2">
        <v>0</v>
      </c>
      <c r="EI5" s="2">
        <v>0</v>
      </c>
      <c r="EJ5" s="2">
        <v>0</v>
      </c>
      <c r="EK5" s="2">
        <v>0</v>
      </c>
      <c r="EM5" s="1" t="s">
        <v>2872</v>
      </c>
      <c r="EN5" s="2">
        <v>0</v>
      </c>
      <c r="EO5" s="2">
        <v>0</v>
      </c>
      <c r="EP5" s="2">
        <v>0</v>
      </c>
      <c r="EQ5" s="2">
        <v>0</v>
      </c>
      <c r="ER5" s="2">
        <v>0</v>
      </c>
      <c r="ES5" s="2">
        <v>0</v>
      </c>
      <c r="ET5" s="2">
        <v>1</v>
      </c>
      <c r="EU5" s="2">
        <v>1</v>
      </c>
      <c r="EV5" s="2">
        <v>1</v>
      </c>
      <c r="EW5" s="2">
        <v>0</v>
      </c>
      <c r="EX5" s="2">
        <v>0</v>
      </c>
      <c r="EY5" s="2">
        <v>0</v>
      </c>
      <c r="EZ5" s="2">
        <v>0</v>
      </c>
      <c r="FB5" s="1" t="s">
        <v>1155</v>
      </c>
      <c r="GI5" s="1" t="s">
        <v>2873</v>
      </c>
      <c r="GJ5" s="2">
        <v>0</v>
      </c>
      <c r="GK5" s="2">
        <v>1</v>
      </c>
      <c r="GL5" s="2">
        <v>0</v>
      </c>
      <c r="GM5" s="2">
        <v>0</v>
      </c>
      <c r="GN5" s="2">
        <v>0</v>
      </c>
      <c r="GO5" s="2">
        <v>0</v>
      </c>
      <c r="GP5" s="2">
        <v>0</v>
      </c>
      <c r="GQ5" s="2">
        <v>1</v>
      </c>
      <c r="GR5" s="2">
        <v>1</v>
      </c>
      <c r="GS5" s="2">
        <v>0</v>
      </c>
      <c r="GT5" s="2">
        <v>0</v>
      </c>
      <c r="GU5" s="2">
        <v>0</v>
      </c>
      <c r="GV5" s="2">
        <v>0</v>
      </c>
      <c r="AVT5" s="1">
        <v>136624480</v>
      </c>
      <c r="AVU5" s="1" t="s">
        <v>2874</v>
      </c>
      <c r="AVW5" s="1">
        <v>329</v>
      </c>
    </row>
    <row r="6" spans="1:1271" x14ac:dyDescent="0.3">
      <c r="A6" s="1" t="s">
        <v>2875</v>
      </c>
      <c r="B6" s="1" t="s">
        <v>2876</v>
      </c>
      <c r="C6" s="1" t="s">
        <v>2877</v>
      </c>
      <c r="D6" s="1" t="s">
        <v>2851</v>
      </c>
      <c r="E6" s="2">
        <v>356676102908909</v>
      </c>
      <c r="F6" s="1" t="s">
        <v>2851</v>
      </c>
      <c r="H6" s="2"/>
      <c r="I6" s="1" t="s">
        <v>1659</v>
      </c>
      <c r="J6" s="1" t="s">
        <v>2852</v>
      </c>
      <c r="K6" s="1" t="s">
        <v>2852</v>
      </c>
      <c r="N6" s="1" t="s">
        <v>1153</v>
      </c>
      <c r="O6" s="2">
        <v>1</v>
      </c>
      <c r="P6" s="2">
        <v>0</v>
      </c>
      <c r="Q6" s="2">
        <v>0</v>
      </c>
      <c r="R6" s="2">
        <v>0</v>
      </c>
      <c r="S6" s="2">
        <v>0</v>
      </c>
      <c r="U6" s="1" t="s">
        <v>2277</v>
      </c>
      <c r="W6" s="1" t="s">
        <v>1155</v>
      </c>
      <c r="X6" s="1" t="s">
        <v>1156</v>
      </c>
      <c r="AN6" s="1" t="s">
        <v>1192</v>
      </c>
      <c r="AO6" s="2">
        <v>40</v>
      </c>
      <c r="AP6" s="1" t="s">
        <v>2559</v>
      </c>
      <c r="AR6" s="1" t="s">
        <v>1710</v>
      </c>
      <c r="AS6" s="1" t="s">
        <v>1164</v>
      </c>
      <c r="AT6" s="1" t="s">
        <v>1155</v>
      </c>
      <c r="BO6" s="1" t="s">
        <v>2211</v>
      </c>
      <c r="BP6" s="2">
        <v>0</v>
      </c>
      <c r="BQ6" s="2">
        <v>0</v>
      </c>
      <c r="BR6" s="2">
        <v>1</v>
      </c>
      <c r="BS6" s="2">
        <v>0</v>
      </c>
      <c r="BT6" s="2">
        <v>0</v>
      </c>
      <c r="BU6" s="2">
        <v>0</v>
      </c>
      <c r="BV6" s="2">
        <v>0</v>
      </c>
      <c r="BW6" s="2">
        <v>0</v>
      </c>
      <c r="BX6" s="2">
        <v>0</v>
      </c>
      <c r="BY6" s="2">
        <v>1</v>
      </c>
      <c r="BZ6" s="2">
        <v>0</v>
      </c>
      <c r="CA6" s="2">
        <v>0</v>
      </c>
      <c r="CC6" s="1" t="s">
        <v>1155</v>
      </c>
      <c r="DQ6" s="1" t="s">
        <v>1164</v>
      </c>
      <c r="DR6" s="2">
        <v>0</v>
      </c>
      <c r="DS6" s="2">
        <v>0</v>
      </c>
      <c r="DT6" s="2">
        <v>0</v>
      </c>
      <c r="DU6" s="2">
        <v>0</v>
      </c>
      <c r="DV6" s="2">
        <v>1</v>
      </c>
      <c r="DX6" s="1" t="s">
        <v>2878</v>
      </c>
      <c r="DY6" s="2">
        <v>0</v>
      </c>
      <c r="DZ6" s="2">
        <v>0</v>
      </c>
      <c r="EA6" s="2">
        <v>0</v>
      </c>
      <c r="EB6" s="2">
        <v>0</v>
      </c>
      <c r="EC6" s="2">
        <v>0</v>
      </c>
      <c r="ED6" s="2">
        <v>0</v>
      </c>
      <c r="EE6" s="2">
        <v>0</v>
      </c>
      <c r="EF6" s="2">
        <v>1</v>
      </c>
      <c r="EG6" s="2">
        <v>0</v>
      </c>
      <c r="EH6" s="2">
        <v>0</v>
      </c>
      <c r="EI6" s="2">
        <v>0</v>
      </c>
      <c r="EJ6" s="2">
        <v>1</v>
      </c>
      <c r="EK6" s="2">
        <v>0</v>
      </c>
      <c r="EL6" s="1" t="s">
        <v>2957</v>
      </c>
      <c r="EM6" s="1" t="s">
        <v>1788</v>
      </c>
      <c r="EN6" s="2">
        <v>0</v>
      </c>
      <c r="EO6" s="2">
        <v>0</v>
      </c>
      <c r="EP6" s="2">
        <v>0</v>
      </c>
      <c r="EQ6" s="2">
        <v>0</v>
      </c>
      <c r="ER6" s="2">
        <v>0</v>
      </c>
      <c r="ES6" s="2">
        <v>0</v>
      </c>
      <c r="ET6" s="2">
        <v>1</v>
      </c>
      <c r="EU6" s="2">
        <v>1</v>
      </c>
      <c r="EV6" s="2">
        <v>0</v>
      </c>
      <c r="EW6" s="2">
        <v>0</v>
      </c>
      <c r="EX6" s="2">
        <v>0</v>
      </c>
      <c r="EY6" s="2">
        <v>0</v>
      </c>
      <c r="EZ6" s="2">
        <v>0</v>
      </c>
      <c r="FB6" s="1" t="s">
        <v>1155</v>
      </c>
      <c r="GI6" s="1" t="s">
        <v>2863</v>
      </c>
      <c r="GJ6" s="2">
        <v>0</v>
      </c>
      <c r="GK6" s="2">
        <v>1</v>
      </c>
      <c r="GL6" s="2">
        <v>0</v>
      </c>
      <c r="GM6" s="2">
        <v>0</v>
      </c>
      <c r="GN6" s="2">
        <v>0</v>
      </c>
      <c r="GO6" s="2">
        <v>0</v>
      </c>
      <c r="GP6" s="2">
        <v>1</v>
      </c>
      <c r="GQ6" s="2">
        <v>1</v>
      </c>
      <c r="GR6" s="2">
        <v>0</v>
      </c>
      <c r="GS6" s="2">
        <v>0</v>
      </c>
      <c r="GT6" s="2">
        <v>0</v>
      </c>
      <c r="GU6" s="2">
        <v>0</v>
      </c>
      <c r="GV6" s="2">
        <v>0</v>
      </c>
      <c r="AVT6" s="1">
        <v>136624543</v>
      </c>
      <c r="AVU6" s="1" t="s">
        <v>2879</v>
      </c>
      <c r="AVW6" s="1">
        <v>331</v>
      </c>
    </row>
    <row r="7" spans="1:1271" x14ac:dyDescent="0.3">
      <c r="A7" s="1" t="s">
        <v>2880</v>
      </c>
      <c r="B7" s="1" t="s">
        <v>2881</v>
      </c>
      <c r="C7" s="1" t="s">
        <v>2882</v>
      </c>
      <c r="D7" s="1" t="s">
        <v>2851</v>
      </c>
      <c r="E7" s="2">
        <v>356676102908909</v>
      </c>
      <c r="F7" s="1" t="s">
        <v>2851</v>
      </c>
      <c r="H7" s="2"/>
      <c r="I7" s="1" t="s">
        <v>1659</v>
      </c>
      <c r="J7" s="1" t="s">
        <v>2852</v>
      </c>
      <c r="K7" s="1" t="s">
        <v>2852</v>
      </c>
      <c r="N7" s="1" t="s">
        <v>1153</v>
      </c>
      <c r="O7" s="2">
        <v>1</v>
      </c>
      <c r="P7" s="2">
        <v>0</v>
      </c>
      <c r="Q7" s="2">
        <v>0</v>
      </c>
      <c r="R7" s="2">
        <v>0</v>
      </c>
      <c r="S7" s="2">
        <v>0</v>
      </c>
      <c r="U7" s="1" t="s">
        <v>1183</v>
      </c>
      <c r="W7" s="1" t="s">
        <v>1156</v>
      </c>
      <c r="X7" s="1" t="s">
        <v>1156</v>
      </c>
      <c r="AN7" s="1" t="s">
        <v>1192</v>
      </c>
      <c r="AO7" s="2">
        <v>8</v>
      </c>
      <c r="AP7" s="1" t="s">
        <v>1196</v>
      </c>
      <c r="AR7" s="1" t="s">
        <v>1801</v>
      </c>
      <c r="AS7" s="1" t="s">
        <v>1164</v>
      </c>
      <c r="AT7" s="1" t="s">
        <v>1156</v>
      </c>
      <c r="AU7" s="1" t="s">
        <v>1161</v>
      </c>
      <c r="BF7" s="1" t="s">
        <v>2883</v>
      </c>
      <c r="BG7" s="2">
        <v>1</v>
      </c>
      <c r="BH7" s="2">
        <v>0</v>
      </c>
      <c r="BI7" s="2">
        <v>0</v>
      </c>
      <c r="BJ7" s="2">
        <v>0</v>
      </c>
      <c r="BK7" s="2">
        <v>0</v>
      </c>
      <c r="BL7" s="2">
        <v>0</v>
      </c>
      <c r="BM7" s="2">
        <v>1</v>
      </c>
      <c r="BN7" s="1" t="s">
        <v>2956</v>
      </c>
      <c r="BO7" s="1" t="s">
        <v>1158</v>
      </c>
      <c r="BP7" s="2">
        <v>0</v>
      </c>
      <c r="BQ7" s="2">
        <v>0</v>
      </c>
      <c r="BR7" s="2">
        <v>0</v>
      </c>
      <c r="BS7" s="2">
        <v>0</v>
      </c>
      <c r="BT7" s="2">
        <v>0</v>
      </c>
      <c r="BU7" s="2">
        <v>1</v>
      </c>
      <c r="BV7" s="2">
        <v>0</v>
      </c>
      <c r="BW7" s="2">
        <v>0</v>
      </c>
      <c r="BX7" s="2">
        <v>0</v>
      </c>
      <c r="BY7" s="2">
        <v>0</v>
      </c>
      <c r="BZ7" s="2">
        <v>0</v>
      </c>
      <c r="CA7" s="2">
        <v>0</v>
      </c>
      <c r="CC7" s="1" t="s">
        <v>1155</v>
      </c>
      <c r="DQ7" s="1" t="s">
        <v>1164</v>
      </c>
      <c r="DR7" s="2">
        <v>0</v>
      </c>
      <c r="DS7" s="2">
        <v>0</v>
      </c>
      <c r="DT7" s="2">
        <v>0</v>
      </c>
      <c r="DU7" s="2">
        <v>0</v>
      </c>
      <c r="DV7" s="2">
        <v>1</v>
      </c>
      <c r="DX7" s="1" t="s">
        <v>2884</v>
      </c>
      <c r="DY7" s="2">
        <v>0</v>
      </c>
      <c r="DZ7" s="2">
        <v>0</v>
      </c>
      <c r="EA7" s="2">
        <v>0</v>
      </c>
      <c r="EB7" s="2">
        <v>0</v>
      </c>
      <c r="EC7" s="2">
        <v>0</v>
      </c>
      <c r="ED7" s="2">
        <v>0</v>
      </c>
      <c r="EE7" s="2">
        <v>0</v>
      </c>
      <c r="EF7" s="2">
        <v>1</v>
      </c>
      <c r="EG7" s="2">
        <v>1</v>
      </c>
      <c r="EH7" s="2">
        <v>0</v>
      </c>
      <c r="EI7" s="2">
        <v>0</v>
      </c>
      <c r="EJ7" s="2">
        <v>0</v>
      </c>
      <c r="EK7" s="2">
        <v>0</v>
      </c>
      <c r="EM7" s="1" t="s">
        <v>1164</v>
      </c>
      <c r="EN7" s="2">
        <v>0</v>
      </c>
      <c r="EO7" s="2">
        <v>0</v>
      </c>
      <c r="EP7" s="2">
        <v>0</v>
      </c>
      <c r="EQ7" s="2">
        <v>0</v>
      </c>
      <c r="ER7" s="2">
        <v>0</v>
      </c>
      <c r="ES7" s="2">
        <v>0</v>
      </c>
      <c r="ET7" s="2">
        <v>0</v>
      </c>
      <c r="EU7" s="2">
        <v>0</v>
      </c>
      <c r="EV7" s="2">
        <v>0</v>
      </c>
      <c r="EW7" s="2">
        <v>1</v>
      </c>
      <c r="EX7" s="2">
        <v>0</v>
      </c>
      <c r="EY7" s="2">
        <v>0</v>
      </c>
      <c r="EZ7" s="2">
        <v>0</v>
      </c>
      <c r="FB7" s="1" t="s">
        <v>1156</v>
      </c>
      <c r="FC7" s="1" t="s">
        <v>1158</v>
      </c>
      <c r="FD7" s="2">
        <v>0</v>
      </c>
      <c r="FE7" s="2">
        <v>0</v>
      </c>
      <c r="FF7" s="2">
        <v>0</v>
      </c>
      <c r="FG7" s="2">
        <v>0</v>
      </c>
      <c r="FH7" s="2">
        <v>1</v>
      </c>
      <c r="FI7" s="2">
        <v>0</v>
      </c>
      <c r="FJ7" s="2">
        <v>0</v>
      </c>
      <c r="FL7" s="1" t="s">
        <v>1517</v>
      </c>
      <c r="FM7" s="2">
        <v>0</v>
      </c>
      <c r="FN7" s="2">
        <v>0</v>
      </c>
      <c r="FO7" s="2">
        <v>0</v>
      </c>
      <c r="FP7" s="2">
        <v>0</v>
      </c>
      <c r="FQ7" s="2">
        <v>0</v>
      </c>
      <c r="FR7" s="2">
        <v>0</v>
      </c>
      <c r="FS7" s="2">
        <v>0</v>
      </c>
      <c r="FT7" s="2">
        <v>0</v>
      </c>
      <c r="FU7" s="2">
        <v>1</v>
      </c>
      <c r="FV7" s="2">
        <v>0</v>
      </c>
      <c r="FW7" s="2">
        <v>0</v>
      </c>
      <c r="FX7" s="2">
        <v>0</v>
      </c>
      <c r="FY7" s="2">
        <v>0</v>
      </c>
      <c r="GA7" s="1" t="s">
        <v>1155</v>
      </c>
      <c r="GB7" s="1" t="s">
        <v>2465</v>
      </c>
      <c r="GC7" s="2">
        <v>1</v>
      </c>
      <c r="GD7" s="2">
        <v>1</v>
      </c>
      <c r="GE7" s="2">
        <v>1</v>
      </c>
      <c r="GF7" s="2">
        <v>0</v>
      </c>
      <c r="GG7" s="2">
        <v>0</v>
      </c>
      <c r="GI7" s="1" t="s">
        <v>2885</v>
      </c>
      <c r="GJ7" s="2">
        <v>1</v>
      </c>
      <c r="GK7" s="2">
        <v>1</v>
      </c>
      <c r="GL7" s="2">
        <v>1</v>
      </c>
      <c r="GM7" s="2">
        <v>0</v>
      </c>
      <c r="GN7" s="2">
        <v>0</v>
      </c>
      <c r="GO7" s="2">
        <v>0</v>
      </c>
      <c r="GP7" s="2">
        <v>1</v>
      </c>
      <c r="GQ7" s="2">
        <v>1</v>
      </c>
      <c r="GR7" s="2">
        <v>1</v>
      </c>
      <c r="GS7" s="2">
        <v>0</v>
      </c>
      <c r="GT7" s="2">
        <v>0</v>
      </c>
      <c r="GU7" s="2">
        <v>0</v>
      </c>
      <c r="GV7" s="2">
        <v>0</v>
      </c>
      <c r="AVT7" s="1">
        <v>136624590</v>
      </c>
      <c r="AVU7" s="1" t="s">
        <v>2886</v>
      </c>
      <c r="AVW7" s="1">
        <v>333</v>
      </c>
    </row>
    <row r="8" spans="1:1271" x14ac:dyDescent="0.3">
      <c r="A8" s="1" t="s">
        <v>2887</v>
      </c>
      <c r="B8" s="1" t="s">
        <v>2888</v>
      </c>
      <c r="C8" s="1" t="s">
        <v>2889</v>
      </c>
      <c r="D8" s="1" t="s">
        <v>2851</v>
      </c>
      <c r="E8" s="2">
        <v>356676102903926</v>
      </c>
      <c r="F8" s="1" t="s">
        <v>2851</v>
      </c>
      <c r="H8" s="2"/>
      <c r="I8" s="1" t="s">
        <v>1659</v>
      </c>
      <c r="J8" s="1" t="s">
        <v>2852</v>
      </c>
      <c r="K8" s="1" t="s">
        <v>2852</v>
      </c>
      <c r="N8" s="1" t="s">
        <v>1170</v>
      </c>
      <c r="O8" s="2">
        <v>0</v>
      </c>
      <c r="P8" s="2">
        <v>0</v>
      </c>
      <c r="Q8" s="2">
        <v>1</v>
      </c>
      <c r="R8" s="2">
        <v>0</v>
      </c>
      <c r="S8" s="2">
        <v>0</v>
      </c>
      <c r="ZS8" s="1" t="s">
        <v>2958</v>
      </c>
      <c r="ZT8" s="1" t="s">
        <v>1171</v>
      </c>
      <c r="ZV8" s="1" t="s">
        <v>1172</v>
      </c>
      <c r="ZX8" s="1" t="s">
        <v>1531</v>
      </c>
      <c r="ZY8" s="1" t="s">
        <v>2890</v>
      </c>
      <c r="ZZ8" s="2">
        <v>0</v>
      </c>
      <c r="AAA8" s="2">
        <v>1</v>
      </c>
      <c r="AAB8" s="2">
        <v>0</v>
      </c>
      <c r="AAC8" s="2">
        <v>0</v>
      </c>
      <c r="AAD8" s="2">
        <v>0</v>
      </c>
      <c r="AAE8" s="2">
        <v>0</v>
      </c>
      <c r="AAF8" s="2">
        <v>0</v>
      </c>
      <c r="AAG8" s="2">
        <v>0</v>
      </c>
      <c r="AAI8" s="1" t="s">
        <v>1709</v>
      </c>
      <c r="ABE8" s="1" t="s">
        <v>1173</v>
      </c>
      <c r="ABF8" s="2">
        <v>1</v>
      </c>
      <c r="ABG8" s="2">
        <v>0</v>
      </c>
      <c r="ABH8" s="2">
        <v>0</v>
      </c>
      <c r="ABI8" s="2">
        <v>0</v>
      </c>
      <c r="ABJ8" s="2">
        <v>0</v>
      </c>
      <c r="ABL8" s="1" t="s">
        <v>1154</v>
      </c>
      <c r="ABM8" s="2">
        <v>0</v>
      </c>
      <c r="ABN8" s="2">
        <v>0</v>
      </c>
      <c r="ABO8" s="2">
        <v>0</v>
      </c>
      <c r="ABP8" s="2">
        <v>0</v>
      </c>
      <c r="ABQ8" s="2">
        <v>0</v>
      </c>
      <c r="ABR8" s="2">
        <v>0</v>
      </c>
      <c r="ABS8" s="2">
        <v>0</v>
      </c>
      <c r="ABT8" s="2">
        <v>0</v>
      </c>
      <c r="ABU8" s="2">
        <v>1</v>
      </c>
      <c r="ABV8" s="2">
        <v>0</v>
      </c>
      <c r="ABW8" s="2">
        <v>0</v>
      </c>
      <c r="ABX8" s="2">
        <v>0</v>
      </c>
      <c r="ABY8" s="1" t="s">
        <v>2891</v>
      </c>
      <c r="ABZ8" s="2">
        <v>5</v>
      </c>
      <c r="ACA8" s="1" t="s">
        <v>1155</v>
      </c>
      <c r="ACJ8" s="1" t="s">
        <v>1155</v>
      </c>
      <c r="ACM8" s="1" t="s">
        <v>1155</v>
      </c>
      <c r="ACN8" s="2">
        <v>835</v>
      </c>
      <c r="ACO8" s="2">
        <v>246</v>
      </c>
      <c r="ACP8" s="2">
        <v>589</v>
      </c>
      <c r="ACQ8" s="2">
        <v>589</v>
      </c>
      <c r="ACR8" s="2">
        <v>835</v>
      </c>
      <c r="ACT8" s="2">
        <v>13</v>
      </c>
      <c r="ACU8" s="2">
        <v>14</v>
      </c>
      <c r="ACV8" s="1" t="s">
        <v>1156</v>
      </c>
      <c r="ACW8" s="1" t="s">
        <v>1157</v>
      </c>
      <c r="ACX8" s="1" t="s">
        <v>2892</v>
      </c>
      <c r="ACY8" s="2">
        <v>1</v>
      </c>
      <c r="ACZ8" s="2">
        <v>0</v>
      </c>
      <c r="ADA8" s="2">
        <v>0</v>
      </c>
      <c r="ADB8" s="2">
        <v>0</v>
      </c>
      <c r="ADC8" s="2">
        <v>0</v>
      </c>
      <c r="ADD8" s="2">
        <v>0</v>
      </c>
      <c r="ADE8" s="2">
        <v>0</v>
      </c>
      <c r="ADQ8" s="2">
        <v>0</v>
      </c>
      <c r="ADR8" s="2">
        <v>0</v>
      </c>
      <c r="ADS8" s="2">
        <v>0</v>
      </c>
      <c r="ADT8" s="2">
        <v>0</v>
      </c>
      <c r="ADU8" s="2">
        <v>0</v>
      </c>
      <c r="ADW8" s="1" t="s">
        <v>1155</v>
      </c>
      <c r="AEO8" s="2">
        <v>0</v>
      </c>
      <c r="AEP8" s="2">
        <v>0</v>
      </c>
      <c r="AEQ8" s="2">
        <v>0</v>
      </c>
      <c r="AER8" s="2">
        <v>0</v>
      </c>
      <c r="AES8" s="2">
        <v>0</v>
      </c>
      <c r="AEU8" s="1" t="s">
        <v>1155</v>
      </c>
      <c r="AFL8" s="2">
        <v>6</v>
      </c>
      <c r="AFM8" s="2">
        <v>0</v>
      </c>
      <c r="AFN8" s="2">
        <v>6</v>
      </c>
      <c r="AFO8" s="2">
        <v>6</v>
      </c>
      <c r="AFP8" s="2">
        <v>6</v>
      </c>
      <c r="AFR8" s="1" t="s">
        <v>1156</v>
      </c>
      <c r="AFS8" s="1" t="s">
        <v>1161</v>
      </c>
      <c r="AGA8" s="1" t="s">
        <v>1682</v>
      </c>
      <c r="AGB8" s="2">
        <v>0</v>
      </c>
      <c r="AGC8" s="2">
        <v>1</v>
      </c>
      <c r="AGD8" s="2">
        <v>0</v>
      </c>
      <c r="AGE8" s="2">
        <v>0</v>
      </c>
      <c r="AGF8" s="2">
        <v>0</v>
      </c>
      <c r="AGH8" s="1" t="s">
        <v>1174</v>
      </c>
      <c r="AGI8" s="1" t="s">
        <v>1174</v>
      </c>
      <c r="AGJ8" s="1" t="s">
        <v>1155</v>
      </c>
      <c r="AHQ8" s="1" t="s">
        <v>1880</v>
      </c>
      <c r="AHR8" s="2">
        <v>0</v>
      </c>
      <c r="AHS8" s="2">
        <v>0</v>
      </c>
      <c r="AHT8" s="2">
        <v>1</v>
      </c>
      <c r="AHU8" s="2">
        <v>0</v>
      </c>
      <c r="AHV8" s="2">
        <v>0</v>
      </c>
      <c r="AHX8" s="1" t="s">
        <v>2893</v>
      </c>
      <c r="AHY8" s="2">
        <v>0</v>
      </c>
      <c r="AHZ8" s="2">
        <v>0</v>
      </c>
      <c r="AIA8" s="2">
        <v>0</v>
      </c>
      <c r="AIB8" s="2">
        <v>0</v>
      </c>
      <c r="AIC8" s="2">
        <v>0</v>
      </c>
      <c r="AID8" s="2">
        <v>1</v>
      </c>
      <c r="AIE8" s="2">
        <v>0</v>
      </c>
      <c r="AIF8" s="2">
        <v>0</v>
      </c>
      <c r="AIG8" s="2">
        <v>0</v>
      </c>
      <c r="AIH8" s="2">
        <v>0</v>
      </c>
      <c r="AII8" s="2">
        <v>0</v>
      </c>
      <c r="AIK8" s="1" t="s">
        <v>1194</v>
      </c>
      <c r="AIL8" s="2">
        <v>0</v>
      </c>
      <c r="AIM8" s="2">
        <v>0</v>
      </c>
      <c r="AIN8" s="2">
        <v>0</v>
      </c>
      <c r="AIO8" s="2">
        <v>0</v>
      </c>
      <c r="AIP8" s="2">
        <v>1</v>
      </c>
      <c r="AIQ8" s="2">
        <v>0</v>
      </c>
      <c r="AIR8" s="2">
        <v>0</v>
      </c>
      <c r="AIS8" s="2">
        <v>0</v>
      </c>
      <c r="AIT8" s="2">
        <v>0</v>
      </c>
      <c r="AIU8" s="2">
        <v>0</v>
      </c>
      <c r="AIV8" s="2">
        <v>0</v>
      </c>
      <c r="AIW8" s="2">
        <v>0</v>
      </c>
      <c r="AIX8" s="2">
        <v>0</v>
      </c>
      <c r="AIZ8" s="1" t="s">
        <v>1155</v>
      </c>
      <c r="AKF8" s="1" t="s">
        <v>2894</v>
      </c>
      <c r="AKG8" s="2">
        <v>0</v>
      </c>
      <c r="AKH8" s="2">
        <v>0</v>
      </c>
      <c r="AKI8" s="2">
        <v>1</v>
      </c>
      <c r="AKJ8" s="2">
        <v>1</v>
      </c>
      <c r="AKK8" s="2">
        <v>0</v>
      </c>
      <c r="AKL8" s="2">
        <v>0</v>
      </c>
      <c r="AKM8" s="2">
        <v>0</v>
      </c>
      <c r="AKN8" s="2">
        <v>0</v>
      </c>
      <c r="AKO8" s="2">
        <v>0</v>
      </c>
      <c r="AKP8" s="2">
        <v>0</v>
      </c>
      <c r="AKQ8" s="2">
        <v>0</v>
      </c>
      <c r="AKR8" s="2">
        <v>0</v>
      </c>
      <c r="AVT8" s="1">
        <v>136624999</v>
      </c>
      <c r="AVU8" s="1" t="s">
        <v>2895</v>
      </c>
      <c r="AVW8" s="1">
        <v>340</v>
      </c>
    </row>
    <row r="9" spans="1:1271" x14ac:dyDescent="0.3">
      <c r="A9" s="1" t="s">
        <v>2896</v>
      </c>
      <c r="B9" s="1" t="s">
        <v>2897</v>
      </c>
      <c r="C9" s="1" t="s">
        <v>2898</v>
      </c>
      <c r="D9" s="1" t="s">
        <v>2851</v>
      </c>
      <c r="E9" s="2">
        <v>356676102903926</v>
      </c>
      <c r="F9" s="1" t="s">
        <v>2851</v>
      </c>
      <c r="H9" s="2"/>
      <c r="I9" s="1" t="s">
        <v>1659</v>
      </c>
      <c r="J9" s="1" t="s">
        <v>2852</v>
      </c>
      <c r="K9" s="1" t="s">
        <v>2852</v>
      </c>
      <c r="N9" s="1" t="s">
        <v>1153</v>
      </c>
      <c r="O9" s="2">
        <v>1</v>
      </c>
      <c r="P9" s="2">
        <v>0</v>
      </c>
      <c r="Q9" s="2">
        <v>0</v>
      </c>
      <c r="R9" s="2">
        <v>0</v>
      </c>
      <c r="S9" s="2">
        <v>0</v>
      </c>
      <c r="U9" s="1" t="s">
        <v>1183</v>
      </c>
      <c r="W9" s="1" t="s">
        <v>1156</v>
      </c>
      <c r="X9" s="1" t="s">
        <v>1156</v>
      </c>
      <c r="AN9" s="1" t="s">
        <v>1182</v>
      </c>
      <c r="AO9" s="2">
        <v>300</v>
      </c>
      <c r="AP9" s="1" t="s">
        <v>2559</v>
      </c>
      <c r="AR9" s="1" t="s">
        <v>1710</v>
      </c>
      <c r="AS9" s="1" t="s">
        <v>2260</v>
      </c>
      <c r="AT9" s="1" t="s">
        <v>1156</v>
      </c>
      <c r="AU9" s="1" t="s">
        <v>1157</v>
      </c>
      <c r="AV9" s="1" t="s">
        <v>1191</v>
      </c>
      <c r="AW9" s="2">
        <v>1</v>
      </c>
      <c r="AX9" s="2">
        <v>0</v>
      </c>
      <c r="AY9" s="2">
        <v>0</v>
      </c>
      <c r="AZ9" s="2">
        <v>0</v>
      </c>
      <c r="BA9" s="2">
        <v>0</v>
      </c>
      <c r="BB9" s="2">
        <v>0</v>
      </c>
      <c r="BC9" s="2">
        <v>0</v>
      </c>
      <c r="BD9" s="2">
        <v>0</v>
      </c>
      <c r="BO9" s="1" t="s">
        <v>1158</v>
      </c>
      <c r="BP9" s="2">
        <v>0</v>
      </c>
      <c r="BQ9" s="2">
        <v>0</v>
      </c>
      <c r="BR9" s="2">
        <v>0</v>
      </c>
      <c r="BS9" s="2">
        <v>0</v>
      </c>
      <c r="BT9" s="2">
        <v>0</v>
      </c>
      <c r="BU9" s="2">
        <v>1</v>
      </c>
      <c r="BV9" s="2">
        <v>0</v>
      </c>
      <c r="BW9" s="2">
        <v>0</v>
      </c>
      <c r="BX9" s="2">
        <v>0</v>
      </c>
      <c r="BY9" s="2">
        <v>0</v>
      </c>
      <c r="BZ9" s="2">
        <v>0</v>
      </c>
      <c r="CA9" s="2">
        <v>0</v>
      </c>
      <c r="CC9" s="1" t="s">
        <v>1155</v>
      </c>
      <c r="DQ9" s="1" t="s">
        <v>1162</v>
      </c>
      <c r="DR9" s="2">
        <v>0</v>
      </c>
      <c r="DS9" s="2">
        <v>0</v>
      </c>
      <c r="DT9" s="2">
        <v>1</v>
      </c>
      <c r="DU9" s="2">
        <v>0</v>
      </c>
      <c r="DV9" s="2">
        <v>0</v>
      </c>
      <c r="DX9" s="1" t="s">
        <v>2147</v>
      </c>
      <c r="DY9" s="2">
        <v>0</v>
      </c>
      <c r="DZ9" s="2">
        <v>0</v>
      </c>
      <c r="EA9" s="2">
        <v>0</v>
      </c>
      <c r="EB9" s="2">
        <v>0</v>
      </c>
      <c r="EC9" s="2">
        <v>0</v>
      </c>
      <c r="ED9" s="2">
        <v>0</v>
      </c>
      <c r="EE9" s="2">
        <v>0</v>
      </c>
      <c r="EF9" s="2">
        <v>1</v>
      </c>
      <c r="EG9" s="2">
        <v>0</v>
      </c>
      <c r="EH9" s="2">
        <v>0</v>
      </c>
      <c r="EI9" s="2">
        <v>0</v>
      </c>
      <c r="EJ9" s="2">
        <v>0</v>
      </c>
      <c r="EK9" s="2">
        <v>0</v>
      </c>
      <c r="EM9" s="1" t="s">
        <v>1194</v>
      </c>
      <c r="EN9" s="2">
        <v>0</v>
      </c>
      <c r="EO9" s="2">
        <v>0</v>
      </c>
      <c r="EP9" s="2">
        <v>0</v>
      </c>
      <c r="EQ9" s="2">
        <v>0</v>
      </c>
      <c r="ER9" s="2">
        <v>1</v>
      </c>
      <c r="ES9" s="2">
        <v>0</v>
      </c>
      <c r="ET9" s="2">
        <v>0</v>
      </c>
      <c r="EU9" s="2">
        <v>0</v>
      </c>
      <c r="EV9" s="2">
        <v>0</v>
      </c>
      <c r="EW9" s="2">
        <v>0</v>
      </c>
      <c r="EX9" s="2">
        <v>0</v>
      </c>
      <c r="EY9" s="2">
        <v>0</v>
      </c>
      <c r="EZ9" s="2">
        <v>0</v>
      </c>
      <c r="FB9" s="1" t="s">
        <v>1156</v>
      </c>
      <c r="FC9" s="1" t="s">
        <v>1158</v>
      </c>
      <c r="FD9" s="2">
        <v>0</v>
      </c>
      <c r="FE9" s="2">
        <v>0</v>
      </c>
      <c r="FF9" s="2">
        <v>0</v>
      </c>
      <c r="FG9" s="2">
        <v>0</v>
      </c>
      <c r="FH9" s="2">
        <v>1</v>
      </c>
      <c r="FI9" s="2">
        <v>0</v>
      </c>
      <c r="FJ9" s="2">
        <v>0</v>
      </c>
      <c r="FL9" s="1" t="s">
        <v>2647</v>
      </c>
      <c r="FM9" s="2">
        <v>0</v>
      </c>
      <c r="FN9" s="2">
        <v>0</v>
      </c>
      <c r="FO9" s="2">
        <v>0</v>
      </c>
      <c r="FP9" s="2">
        <v>0</v>
      </c>
      <c r="FQ9" s="2">
        <v>0</v>
      </c>
      <c r="FR9" s="2">
        <v>1</v>
      </c>
      <c r="FS9" s="2">
        <v>0</v>
      </c>
      <c r="FT9" s="2">
        <v>0</v>
      </c>
      <c r="FU9" s="2">
        <v>0</v>
      </c>
      <c r="FV9" s="2">
        <v>0</v>
      </c>
      <c r="FW9" s="2">
        <v>0</v>
      </c>
      <c r="FX9" s="2">
        <v>0</v>
      </c>
      <c r="FY9" s="2">
        <v>0</v>
      </c>
      <c r="GA9" s="1" t="s">
        <v>1155</v>
      </c>
      <c r="GB9" s="1" t="s">
        <v>2350</v>
      </c>
      <c r="GC9" s="2">
        <v>0</v>
      </c>
      <c r="GD9" s="2">
        <v>1</v>
      </c>
      <c r="GE9" s="2">
        <v>0</v>
      </c>
      <c r="GF9" s="2">
        <v>0</v>
      </c>
      <c r="GG9" s="2">
        <v>0</v>
      </c>
      <c r="GI9" s="1" t="s">
        <v>2580</v>
      </c>
      <c r="GJ9" s="2">
        <v>0</v>
      </c>
      <c r="GK9" s="2">
        <v>0</v>
      </c>
      <c r="GL9" s="2">
        <v>0</v>
      </c>
      <c r="GM9" s="2">
        <v>0</v>
      </c>
      <c r="GN9" s="2">
        <v>1</v>
      </c>
      <c r="GO9" s="2">
        <v>0</v>
      </c>
      <c r="GP9" s="2">
        <v>0</v>
      </c>
      <c r="GQ9" s="2">
        <v>0</v>
      </c>
      <c r="GR9" s="2">
        <v>0</v>
      </c>
      <c r="GS9" s="2">
        <v>0</v>
      </c>
      <c r="GT9" s="2">
        <v>0</v>
      </c>
      <c r="GU9" s="2">
        <v>0</v>
      </c>
      <c r="GV9" s="2">
        <v>0</v>
      </c>
      <c r="AVT9" s="1">
        <v>136625064</v>
      </c>
      <c r="AVU9" s="1" t="s">
        <v>2899</v>
      </c>
      <c r="AVW9" s="1">
        <v>341</v>
      </c>
    </row>
    <row r="10" spans="1:1271" x14ac:dyDescent="0.3">
      <c r="A10" s="1" t="s">
        <v>2900</v>
      </c>
      <c r="B10" s="1" t="s">
        <v>2901</v>
      </c>
      <c r="C10" s="1" t="s">
        <v>2902</v>
      </c>
      <c r="D10" s="1" t="s">
        <v>2851</v>
      </c>
      <c r="E10" s="2">
        <v>356676102903926</v>
      </c>
      <c r="F10" s="1" t="s">
        <v>2851</v>
      </c>
      <c r="H10" s="2"/>
      <c r="I10" s="1" t="s">
        <v>1659</v>
      </c>
      <c r="J10" s="1" t="s">
        <v>2852</v>
      </c>
      <c r="K10" s="1" t="s">
        <v>2852</v>
      </c>
      <c r="N10" s="1" t="s">
        <v>1153</v>
      </c>
      <c r="O10" s="2">
        <v>1</v>
      </c>
      <c r="P10" s="2">
        <v>0</v>
      </c>
      <c r="Q10" s="2">
        <v>0</v>
      </c>
      <c r="R10" s="2">
        <v>0</v>
      </c>
      <c r="S10" s="2">
        <v>0</v>
      </c>
      <c r="U10" s="1" t="s">
        <v>1840</v>
      </c>
      <c r="W10" s="1" t="s">
        <v>1156</v>
      </c>
      <c r="X10" s="1" t="s">
        <v>1156</v>
      </c>
      <c r="AN10" s="1" t="s">
        <v>1182</v>
      </c>
      <c r="AO10" s="2">
        <v>500</v>
      </c>
      <c r="AP10" s="1" t="s">
        <v>2559</v>
      </c>
      <c r="AR10" s="1" t="s">
        <v>1710</v>
      </c>
      <c r="AS10" s="1" t="s">
        <v>1841</v>
      </c>
      <c r="AT10" s="1" t="s">
        <v>1156</v>
      </c>
      <c r="AU10" s="1" t="s">
        <v>1157</v>
      </c>
      <c r="AV10" s="1" t="s">
        <v>2484</v>
      </c>
      <c r="AW10" s="2">
        <v>0</v>
      </c>
      <c r="AX10" s="2">
        <v>0</v>
      </c>
      <c r="AY10" s="2">
        <v>1</v>
      </c>
      <c r="AZ10" s="2">
        <v>0</v>
      </c>
      <c r="BA10" s="2">
        <v>0</v>
      </c>
      <c r="BB10" s="2">
        <v>0</v>
      </c>
      <c r="BC10" s="2">
        <v>0</v>
      </c>
      <c r="BD10" s="2">
        <v>0</v>
      </c>
      <c r="BO10" s="1" t="s">
        <v>1158</v>
      </c>
      <c r="BP10" s="2">
        <v>0</v>
      </c>
      <c r="BQ10" s="2">
        <v>0</v>
      </c>
      <c r="BR10" s="2">
        <v>0</v>
      </c>
      <c r="BS10" s="2">
        <v>0</v>
      </c>
      <c r="BT10" s="2">
        <v>0</v>
      </c>
      <c r="BU10" s="2">
        <v>1</v>
      </c>
      <c r="BV10" s="2">
        <v>0</v>
      </c>
      <c r="BW10" s="2">
        <v>0</v>
      </c>
      <c r="BX10" s="2">
        <v>0</v>
      </c>
      <c r="BY10" s="2">
        <v>0</v>
      </c>
      <c r="BZ10" s="2">
        <v>0</v>
      </c>
      <c r="CA10" s="2">
        <v>0</v>
      </c>
      <c r="CC10" s="1" t="s">
        <v>1155</v>
      </c>
      <c r="DQ10" s="1" t="s">
        <v>1169</v>
      </c>
      <c r="DR10" s="2">
        <v>0</v>
      </c>
      <c r="DS10" s="2">
        <v>1</v>
      </c>
      <c r="DT10" s="2">
        <v>0</v>
      </c>
      <c r="DU10" s="2">
        <v>0</v>
      </c>
      <c r="DV10" s="2">
        <v>0</v>
      </c>
      <c r="DX10" s="1" t="s">
        <v>2369</v>
      </c>
      <c r="DY10" s="2">
        <v>0</v>
      </c>
      <c r="DZ10" s="2">
        <v>0</v>
      </c>
      <c r="EA10" s="2">
        <v>0</v>
      </c>
      <c r="EB10" s="2">
        <v>0</v>
      </c>
      <c r="EC10" s="2">
        <v>0</v>
      </c>
      <c r="ED10" s="2">
        <v>0</v>
      </c>
      <c r="EE10" s="2">
        <v>0</v>
      </c>
      <c r="EF10" s="2">
        <v>0</v>
      </c>
      <c r="EG10" s="2">
        <v>1</v>
      </c>
      <c r="EH10" s="2">
        <v>0</v>
      </c>
      <c r="EI10" s="2">
        <v>0</v>
      </c>
      <c r="EJ10" s="2">
        <v>0</v>
      </c>
      <c r="EK10" s="2">
        <v>0</v>
      </c>
      <c r="EM10" s="1" t="s">
        <v>2621</v>
      </c>
      <c r="EN10" s="2">
        <v>0</v>
      </c>
      <c r="EO10" s="2">
        <v>0</v>
      </c>
      <c r="EP10" s="2">
        <v>0</v>
      </c>
      <c r="EQ10" s="2">
        <v>1</v>
      </c>
      <c r="ER10" s="2">
        <v>0</v>
      </c>
      <c r="ES10" s="2">
        <v>0</v>
      </c>
      <c r="ET10" s="2">
        <v>0</v>
      </c>
      <c r="EU10" s="2">
        <v>0</v>
      </c>
      <c r="EV10" s="2">
        <v>0</v>
      </c>
      <c r="EW10" s="2">
        <v>0</v>
      </c>
      <c r="EX10" s="2">
        <v>0</v>
      </c>
      <c r="EY10" s="2">
        <v>0</v>
      </c>
      <c r="EZ10" s="2">
        <v>0</v>
      </c>
      <c r="FB10" s="1" t="s">
        <v>1156</v>
      </c>
      <c r="FC10" s="1" t="s">
        <v>1158</v>
      </c>
      <c r="FD10" s="2">
        <v>0</v>
      </c>
      <c r="FE10" s="2">
        <v>0</v>
      </c>
      <c r="FF10" s="2">
        <v>0</v>
      </c>
      <c r="FG10" s="2">
        <v>0</v>
      </c>
      <c r="FH10" s="2">
        <v>1</v>
      </c>
      <c r="FI10" s="2">
        <v>0</v>
      </c>
      <c r="FJ10" s="2">
        <v>0</v>
      </c>
      <c r="FL10" s="1" t="s">
        <v>2427</v>
      </c>
      <c r="FM10" s="2">
        <v>0</v>
      </c>
      <c r="FN10" s="2">
        <v>0</v>
      </c>
      <c r="FO10" s="2">
        <v>1</v>
      </c>
      <c r="FP10" s="2">
        <v>0</v>
      </c>
      <c r="FQ10" s="2">
        <v>0</v>
      </c>
      <c r="FR10" s="2">
        <v>0</v>
      </c>
      <c r="FS10" s="2">
        <v>0</v>
      </c>
      <c r="FT10" s="2">
        <v>0</v>
      </c>
      <c r="FU10" s="2">
        <v>0</v>
      </c>
      <c r="FV10" s="2">
        <v>0</v>
      </c>
      <c r="FW10" s="2">
        <v>0</v>
      </c>
      <c r="FX10" s="2">
        <v>0</v>
      </c>
      <c r="FY10" s="2">
        <v>0</v>
      </c>
      <c r="GA10" s="1" t="s">
        <v>1156</v>
      </c>
      <c r="GI10" s="1" t="s">
        <v>2427</v>
      </c>
      <c r="GJ10" s="2">
        <v>0</v>
      </c>
      <c r="GK10" s="2">
        <v>0</v>
      </c>
      <c r="GL10" s="2">
        <v>1</v>
      </c>
      <c r="GM10" s="2">
        <v>0</v>
      </c>
      <c r="GN10" s="2">
        <v>0</v>
      </c>
      <c r="GO10" s="2">
        <v>0</v>
      </c>
      <c r="GP10" s="2">
        <v>0</v>
      </c>
      <c r="GQ10" s="2">
        <v>0</v>
      </c>
      <c r="GR10" s="2">
        <v>0</v>
      </c>
      <c r="GS10" s="2">
        <v>0</v>
      </c>
      <c r="GT10" s="2">
        <v>0</v>
      </c>
      <c r="GU10" s="2">
        <v>0</v>
      </c>
      <c r="GV10" s="2">
        <v>0</v>
      </c>
      <c r="AVT10" s="1">
        <v>136625124</v>
      </c>
      <c r="AVU10" s="1" t="s">
        <v>2903</v>
      </c>
      <c r="AVW10" s="1">
        <v>342</v>
      </c>
    </row>
    <row r="11" spans="1:1271" x14ac:dyDescent="0.3">
      <c r="A11" s="1" t="s">
        <v>2904</v>
      </c>
      <c r="B11" s="1" t="s">
        <v>2905</v>
      </c>
      <c r="C11" s="1" t="s">
        <v>2906</v>
      </c>
      <c r="D11" s="1" t="s">
        <v>2851</v>
      </c>
      <c r="E11" s="2">
        <v>356676102903926</v>
      </c>
      <c r="F11" s="1" t="s">
        <v>2851</v>
      </c>
      <c r="H11" s="2"/>
      <c r="I11" s="1" t="s">
        <v>1659</v>
      </c>
      <c r="J11" s="1" t="s">
        <v>2852</v>
      </c>
      <c r="K11" s="1" t="s">
        <v>2852</v>
      </c>
      <c r="N11" s="1" t="s">
        <v>1153</v>
      </c>
      <c r="O11" s="2">
        <v>1</v>
      </c>
      <c r="P11" s="2">
        <v>0</v>
      </c>
      <c r="Q11" s="2">
        <v>0</v>
      </c>
      <c r="R11" s="2">
        <v>0</v>
      </c>
      <c r="S11" s="2">
        <v>0</v>
      </c>
      <c r="U11" s="1" t="s">
        <v>1183</v>
      </c>
      <c r="W11" s="1" t="s">
        <v>1156</v>
      </c>
      <c r="X11" s="1" t="s">
        <v>1156</v>
      </c>
      <c r="AN11" s="1" t="s">
        <v>1182</v>
      </c>
      <c r="AO11" s="2">
        <v>100</v>
      </c>
      <c r="AP11" s="1" t="s">
        <v>2559</v>
      </c>
      <c r="AR11" s="1" t="s">
        <v>2293</v>
      </c>
      <c r="AS11" s="1" t="s">
        <v>1833</v>
      </c>
      <c r="AT11" s="1" t="s">
        <v>1155</v>
      </c>
      <c r="BO11" s="1" t="s">
        <v>1158</v>
      </c>
      <c r="BP11" s="2">
        <v>0</v>
      </c>
      <c r="BQ11" s="2">
        <v>0</v>
      </c>
      <c r="BR11" s="2">
        <v>0</v>
      </c>
      <c r="BS11" s="2">
        <v>0</v>
      </c>
      <c r="BT11" s="2">
        <v>0</v>
      </c>
      <c r="BU11" s="2">
        <v>1</v>
      </c>
      <c r="BV11" s="2">
        <v>0</v>
      </c>
      <c r="BW11" s="2">
        <v>0</v>
      </c>
      <c r="BX11" s="2">
        <v>0</v>
      </c>
      <c r="BY11" s="2">
        <v>0</v>
      </c>
      <c r="BZ11" s="2">
        <v>0</v>
      </c>
      <c r="CA11" s="2">
        <v>0</v>
      </c>
      <c r="CC11" s="1" t="s">
        <v>1155</v>
      </c>
      <c r="DQ11" s="1" t="s">
        <v>1169</v>
      </c>
      <c r="DR11" s="2">
        <v>0</v>
      </c>
      <c r="DS11" s="2">
        <v>1</v>
      </c>
      <c r="DT11" s="2">
        <v>0</v>
      </c>
      <c r="DU11" s="2">
        <v>0</v>
      </c>
      <c r="DV11" s="2">
        <v>0</v>
      </c>
      <c r="DX11" s="1" t="s">
        <v>2420</v>
      </c>
      <c r="DY11" s="2">
        <v>0</v>
      </c>
      <c r="DZ11" s="2">
        <v>0</v>
      </c>
      <c r="EA11" s="2">
        <v>1</v>
      </c>
      <c r="EB11" s="2">
        <v>0</v>
      </c>
      <c r="EC11" s="2">
        <v>0</v>
      </c>
      <c r="ED11" s="2">
        <v>0</v>
      </c>
      <c r="EE11" s="2">
        <v>0</v>
      </c>
      <c r="EF11" s="2">
        <v>0</v>
      </c>
      <c r="EG11" s="2">
        <v>0</v>
      </c>
      <c r="EH11" s="2">
        <v>0</v>
      </c>
      <c r="EI11" s="2">
        <v>0</v>
      </c>
      <c r="EJ11" s="2">
        <v>0</v>
      </c>
      <c r="EK11" s="2">
        <v>0</v>
      </c>
      <c r="EM11" s="1" t="s">
        <v>1194</v>
      </c>
      <c r="EN11" s="2">
        <v>0</v>
      </c>
      <c r="EO11" s="2">
        <v>0</v>
      </c>
      <c r="EP11" s="2">
        <v>0</v>
      </c>
      <c r="EQ11" s="2">
        <v>0</v>
      </c>
      <c r="ER11" s="2">
        <v>1</v>
      </c>
      <c r="ES11" s="2">
        <v>0</v>
      </c>
      <c r="ET11" s="2">
        <v>0</v>
      </c>
      <c r="EU11" s="2">
        <v>0</v>
      </c>
      <c r="EV11" s="2">
        <v>0</v>
      </c>
      <c r="EW11" s="2">
        <v>0</v>
      </c>
      <c r="EX11" s="2">
        <v>0</v>
      </c>
      <c r="EY11" s="2">
        <v>0</v>
      </c>
      <c r="EZ11" s="2">
        <v>0</v>
      </c>
      <c r="FB11" s="1" t="s">
        <v>1155</v>
      </c>
      <c r="GI11" s="1" t="s">
        <v>2580</v>
      </c>
      <c r="GJ11" s="2">
        <v>0</v>
      </c>
      <c r="GK11" s="2">
        <v>0</v>
      </c>
      <c r="GL11" s="2">
        <v>0</v>
      </c>
      <c r="GM11" s="2">
        <v>0</v>
      </c>
      <c r="GN11" s="2">
        <v>1</v>
      </c>
      <c r="GO11" s="2">
        <v>0</v>
      </c>
      <c r="GP11" s="2">
        <v>0</v>
      </c>
      <c r="GQ11" s="2">
        <v>0</v>
      </c>
      <c r="GR11" s="2">
        <v>0</v>
      </c>
      <c r="GS11" s="2">
        <v>0</v>
      </c>
      <c r="GT11" s="2">
        <v>0</v>
      </c>
      <c r="GU11" s="2">
        <v>0</v>
      </c>
      <c r="GV11" s="2">
        <v>0</v>
      </c>
      <c r="AVT11" s="1">
        <v>136625233</v>
      </c>
      <c r="AVU11" s="1" t="s">
        <v>2907</v>
      </c>
      <c r="AVW11" s="1">
        <v>343</v>
      </c>
    </row>
    <row r="12" spans="1:1271" x14ac:dyDescent="0.3">
      <c r="A12" s="1" t="s">
        <v>2908</v>
      </c>
      <c r="B12" s="1" t="s">
        <v>2909</v>
      </c>
      <c r="C12" s="1" t="s">
        <v>2910</v>
      </c>
      <c r="D12" s="1" t="s">
        <v>2851</v>
      </c>
      <c r="E12" s="2">
        <v>356676102903926</v>
      </c>
      <c r="F12" s="1" t="s">
        <v>2851</v>
      </c>
      <c r="H12" s="2"/>
      <c r="I12" s="1" t="s">
        <v>1659</v>
      </c>
      <c r="J12" s="1" t="s">
        <v>2852</v>
      </c>
      <c r="K12" s="1" t="s">
        <v>2852</v>
      </c>
      <c r="N12" s="1" t="s">
        <v>1160</v>
      </c>
      <c r="O12" s="2">
        <v>0</v>
      </c>
      <c r="P12" s="2">
        <v>0</v>
      </c>
      <c r="Q12" s="2">
        <v>0</v>
      </c>
      <c r="R12" s="2">
        <v>0</v>
      </c>
      <c r="S12" s="2">
        <v>1</v>
      </c>
      <c r="AKT12" s="1" t="s">
        <v>2911</v>
      </c>
      <c r="AKU12" s="1" t="s">
        <v>1156</v>
      </c>
      <c r="ALF12" s="1" t="s">
        <v>1155</v>
      </c>
      <c r="ALG12" s="1" t="s">
        <v>1156</v>
      </c>
      <c r="ALN12" s="1" t="s">
        <v>2912</v>
      </c>
      <c r="ALO12" s="2">
        <v>1</v>
      </c>
      <c r="ALP12" s="2">
        <v>0</v>
      </c>
      <c r="ALQ12" s="2">
        <v>1</v>
      </c>
      <c r="ALR12" s="2">
        <v>0</v>
      </c>
      <c r="ALS12" s="2">
        <v>0</v>
      </c>
      <c r="ALT12" s="2">
        <v>0</v>
      </c>
      <c r="ALU12" s="2">
        <v>0</v>
      </c>
      <c r="ALV12" s="2">
        <v>0</v>
      </c>
      <c r="ALX12" s="1" t="s">
        <v>1165</v>
      </c>
      <c r="ALY12" s="2">
        <v>1</v>
      </c>
      <c r="ALZ12" s="2">
        <v>1</v>
      </c>
      <c r="AMA12" s="2">
        <v>1</v>
      </c>
      <c r="AMB12" s="2">
        <v>1</v>
      </c>
      <c r="AMC12" s="2">
        <v>1</v>
      </c>
      <c r="AMD12" s="2">
        <v>1</v>
      </c>
      <c r="AME12" s="2">
        <v>1</v>
      </c>
      <c r="AMF12" s="1" t="s">
        <v>1719</v>
      </c>
      <c r="AMG12" s="2">
        <v>1</v>
      </c>
      <c r="AMH12" s="2">
        <v>0</v>
      </c>
      <c r="AMI12" s="2">
        <v>0</v>
      </c>
      <c r="AMJ12" s="2">
        <v>0</v>
      </c>
      <c r="AMK12" s="2">
        <v>0</v>
      </c>
      <c r="AMM12" s="1" t="s">
        <v>1155</v>
      </c>
      <c r="AMW12" s="2">
        <v>120</v>
      </c>
      <c r="AMX12" s="1" t="s">
        <v>1156</v>
      </c>
      <c r="AMY12" s="1" t="s">
        <v>1166</v>
      </c>
      <c r="ANK12" s="1" t="s">
        <v>2913</v>
      </c>
      <c r="ANL12" s="2">
        <v>0</v>
      </c>
      <c r="ANM12" s="2">
        <v>0</v>
      </c>
      <c r="ANN12" s="2">
        <v>0</v>
      </c>
      <c r="ANO12" s="2">
        <v>0</v>
      </c>
      <c r="ANP12" s="2">
        <v>0</v>
      </c>
      <c r="ANQ12" s="2">
        <v>1</v>
      </c>
      <c r="ANR12" s="2">
        <v>0</v>
      </c>
      <c r="ANS12" s="2">
        <v>0</v>
      </c>
      <c r="ANT12" s="2">
        <v>0</v>
      </c>
      <c r="ANU12" s="2">
        <v>0</v>
      </c>
      <c r="ANV12" s="2">
        <v>0</v>
      </c>
      <c r="ANX12" s="1" t="s">
        <v>1155</v>
      </c>
      <c r="ANZ12" s="1" t="s">
        <v>1198</v>
      </c>
      <c r="AOA12" s="2">
        <v>0</v>
      </c>
      <c r="AOB12" s="2">
        <v>1</v>
      </c>
      <c r="AOC12" s="2">
        <v>0</v>
      </c>
      <c r="AOD12" s="2">
        <v>0</v>
      </c>
      <c r="AOE12" s="2">
        <v>0</v>
      </c>
      <c r="AOF12" s="2">
        <v>0</v>
      </c>
      <c r="AOG12" s="2">
        <v>0</v>
      </c>
      <c r="AOH12" s="2">
        <v>0</v>
      </c>
      <c r="AOJ12" s="1" t="s">
        <v>2245</v>
      </c>
      <c r="AOL12" s="1" t="s">
        <v>2246</v>
      </c>
      <c r="AON12" s="2">
        <v>100</v>
      </c>
      <c r="AOO12" s="1" t="s">
        <v>1198</v>
      </c>
      <c r="AOP12" s="2">
        <v>0</v>
      </c>
      <c r="AOQ12" s="2">
        <v>1</v>
      </c>
      <c r="AOR12" s="2">
        <v>0</v>
      </c>
      <c r="AOS12" s="2">
        <v>0</v>
      </c>
      <c r="AOT12" s="2">
        <v>0</v>
      </c>
      <c r="AOU12" s="2">
        <v>0</v>
      </c>
      <c r="AOV12" s="2">
        <v>0</v>
      </c>
      <c r="AOW12" s="2">
        <v>0</v>
      </c>
      <c r="AOY12" s="1" t="s">
        <v>2245</v>
      </c>
      <c r="APA12" s="1" t="s">
        <v>1394</v>
      </c>
      <c r="APD12" s="2">
        <v>50</v>
      </c>
      <c r="APF12" s="1" t="s">
        <v>1155</v>
      </c>
      <c r="APZ12" s="1" t="s">
        <v>2388</v>
      </c>
      <c r="AQA12" s="2">
        <v>0</v>
      </c>
      <c r="AQB12" s="2">
        <v>1</v>
      </c>
      <c r="AQC12" s="2">
        <v>0</v>
      </c>
      <c r="AQD12" s="2">
        <v>0</v>
      </c>
      <c r="AQE12" s="2">
        <v>0</v>
      </c>
      <c r="AQF12" s="2">
        <v>0</v>
      </c>
      <c r="AQL12" s="1" t="s">
        <v>2914</v>
      </c>
      <c r="AQN12" s="2">
        <v>250</v>
      </c>
      <c r="AQO12" s="1" t="s">
        <v>1163</v>
      </c>
      <c r="ARG12" s="1" t="s">
        <v>1159</v>
      </c>
      <c r="ARH12" s="2">
        <v>0</v>
      </c>
      <c r="ARI12" s="2">
        <v>0</v>
      </c>
      <c r="ARJ12" s="2">
        <v>1</v>
      </c>
      <c r="ARK12" s="2">
        <v>0</v>
      </c>
      <c r="ARL12" s="2">
        <v>0</v>
      </c>
      <c r="ARM12" s="2">
        <v>0</v>
      </c>
      <c r="ARN12" s="2">
        <v>0</v>
      </c>
      <c r="ARO12" s="2">
        <v>0</v>
      </c>
      <c r="ARP12" s="2">
        <v>0</v>
      </c>
      <c r="ARQ12" s="2">
        <v>0</v>
      </c>
      <c r="ARR12" s="2">
        <v>0</v>
      </c>
      <c r="ARS12" s="2">
        <v>0</v>
      </c>
      <c r="ARU12" s="1" t="s">
        <v>1163</v>
      </c>
      <c r="ARV12" s="2">
        <v>1</v>
      </c>
      <c r="ARW12" s="2">
        <v>0</v>
      </c>
      <c r="ARX12" s="2">
        <v>0</v>
      </c>
      <c r="ARY12" s="2">
        <v>0</v>
      </c>
      <c r="ARZ12" s="2">
        <v>0</v>
      </c>
      <c r="ASA12" s="2">
        <v>0</v>
      </c>
      <c r="ASB12" s="2">
        <v>0</v>
      </c>
      <c r="ASD12" s="1" t="s">
        <v>1155</v>
      </c>
      <c r="ASN12" s="1" t="s">
        <v>1169</v>
      </c>
      <c r="ASO12" s="2">
        <v>0</v>
      </c>
      <c r="ASP12" s="2">
        <v>1</v>
      </c>
      <c r="ASQ12" s="2">
        <v>0</v>
      </c>
      <c r="ASR12" s="2">
        <v>0</v>
      </c>
      <c r="ASS12" s="2">
        <v>0</v>
      </c>
      <c r="ASU12" s="1" t="s">
        <v>1164</v>
      </c>
      <c r="ASV12" s="2">
        <v>0</v>
      </c>
      <c r="ASW12" s="2">
        <v>0</v>
      </c>
      <c r="ASX12" s="2">
        <v>0</v>
      </c>
      <c r="ASY12" s="2">
        <v>0</v>
      </c>
      <c r="ASZ12" s="2">
        <v>0</v>
      </c>
      <c r="ATA12" s="2">
        <v>0</v>
      </c>
      <c r="ATB12" s="2">
        <v>0</v>
      </c>
      <c r="ATC12" s="2">
        <v>0</v>
      </c>
      <c r="ATD12" s="2">
        <v>0</v>
      </c>
      <c r="ATE12" s="2">
        <v>1</v>
      </c>
      <c r="ATF12" s="2">
        <v>0</v>
      </c>
      <c r="ATG12" s="2">
        <v>0</v>
      </c>
      <c r="ATH12" s="2">
        <v>0</v>
      </c>
      <c r="ATJ12" s="1" t="s">
        <v>2915</v>
      </c>
      <c r="ATK12" s="2">
        <v>0</v>
      </c>
      <c r="ATL12" s="2">
        <v>1</v>
      </c>
      <c r="ATM12" s="2">
        <v>0</v>
      </c>
      <c r="ATN12" s="2">
        <v>0</v>
      </c>
      <c r="ATO12" s="2">
        <v>0</v>
      </c>
      <c r="ATP12" s="2">
        <v>0</v>
      </c>
      <c r="ATQ12" s="2">
        <v>0</v>
      </c>
      <c r="ATR12" s="2">
        <v>0</v>
      </c>
      <c r="ATS12" s="2">
        <v>0</v>
      </c>
      <c r="ATT12" s="2">
        <v>0</v>
      </c>
      <c r="ATU12" s="2">
        <v>0</v>
      </c>
      <c r="ATV12" s="2">
        <v>0</v>
      </c>
      <c r="ATW12" s="2">
        <v>0</v>
      </c>
      <c r="ATX12" s="2">
        <v>0</v>
      </c>
      <c r="ATY12" s="2">
        <v>0</v>
      </c>
      <c r="ATZ12" s="2">
        <v>0</v>
      </c>
      <c r="AUA12" s="2">
        <v>0</v>
      </c>
      <c r="AUC12" s="1" t="s">
        <v>1155</v>
      </c>
      <c r="AVG12" s="1" t="s">
        <v>2916</v>
      </c>
      <c r="AVH12" s="2">
        <v>0</v>
      </c>
      <c r="AVI12" s="2">
        <v>0</v>
      </c>
      <c r="AVJ12" s="2">
        <v>0</v>
      </c>
      <c r="AVK12" s="2">
        <v>1</v>
      </c>
      <c r="AVL12" s="2">
        <v>1</v>
      </c>
      <c r="AVM12" s="2">
        <v>0</v>
      </c>
      <c r="AVN12" s="2">
        <v>0</v>
      </c>
      <c r="AVO12" s="2">
        <v>0</v>
      </c>
      <c r="AVP12" s="2">
        <v>0</v>
      </c>
      <c r="AVT12" s="1">
        <v>136625288</v>
      </c>
      <c r="AVU12" s="1" t="s">
        <v>2917</v>
      </c>
      <c r="AVW12" s="1">
        <v>344</v>
      </c>
    </row>
    <row r="13" spans="1:1271" x14ac:dyDescent="0.3">
      <c r="A13" s="1" t="s">
        <v>2918</v>
      </c>
      <c r="B13" s="1" t="s">
        <v>2919</v>
      </c>
      <c r="C13" s="1" t="s">
        <v>2920</v>
      </c>
      <c r="D13" s="1" t="s">
        <v>2851</v>
      </c>
      <c r="E13" s="2">
        <v>356676102903926</v>
      </c>
      <c r="F13" s="1" t="s">
        <v>2851</v>
      </c>
      <c r="H13" s="2"/>
      <c r="I13" s="1" t="s">
        <v>1659</v>
      </c>
      <c r="J13" s="1" t="s">
        <v>2852</v>
      </c>
      <c r="K13" s="1" t="s">
        <v>2852</v>
      </c>
      <c r="N13" s="1" t="s">
        <v>1153</v>
      </c>
      <c r="O13" s="2">
        <v>1</v>
      </c>
      <c r="P13" s="2">
        <v>0</v>
      </c>
      <c r="Q13" s="2">
        <v>0</v>
      </c>
      <c r="R13" s="2">
        <v>0</v>
      </c>
      <c r="S13" s="2">
        <v>0</v>
      </c>
      <c r="U13" s="1" t="s">
        <v>2277</v>
      </c>
      <c r="W13" s="1" t="s">
        <v>1156</v>
      </c>
      <c r="X13" s="1" t="s">
        <v>1156</v>
      </c>
      <c r="AN13" s="1" t="s">
        <v>1182</v>
      </c>
      <c r="AO13" s="2">
        <v>100</v>
      </c>
      <c r="AP13" s="1" t="s">
        <v>2145</v>
      </c>
      <c r="AR13" s="1" t="s">
        <v>1801</v>
      </c>
      <c r="AS13" s="1" t="s">
        <v>1164</v>
      </c>
      <c r="AT13" s="1" t="s">
        <v>1156</v>
      </c>
      <c r="AU13" s="1" t="s">
        <v>1186</v>
      </c>
      <c r="AV13" s="1" t="s">
        <v>1191</v>
      </c>
      <c r="AW13" s="2">
        <v>1</v>
      </c>
      <c r="AX13" s="2">
        <v>0</v>
      </c>
      <c r="AY13" s="2">
        <v>0</v>
      </c>
      <c r="AZ13" s="2">
        <v>0</v>
      </c>
      <c r="BA13" s="2">
        <v>0</v>
      </c>
      <c r="BB13" s="2">
        <v>0</v>
      </c>
      <c r="BC13" s="2">
        <v>0</v>
      </c>
      <c r="BD13" s="2">
        <v>0</v>
      </c>
      <c r="BO13" s="1" t="s">
        <v>1159</v>
      </c>
      <c r="BP13" s="2">
        <v>0</v>
      </c>
      <c r="BQ13" s="2">
        <v>0</v>
      </c>
      <c r="BR13" s="2">
        <v>1</v>
      </c>
      <c r="BS13" s="2">
        <v>0</v>
      </c>
      <c r="BT13" s="2">
        <v>0</v>
      </c>
      <c r="BU13" s="2">
        <v>0</v>
      </c>
      <c r="BV13" s="2">
        <v>0</v>
      </c>
      <c r="BW13" s="2">
        <v>0</v>
      </c>
      <c r="BX13" s="2">
        <v>0</v>
      </c>
      <c r="BY13" s="2">
        <v>0</v>
      </c>
      <c r="BZ13" s="2">
        <v>0</v>
      </c>
      <c r="CA13" s="2">
        <v>0</v>
      </c>
      <c r="CC13" s="1" t="s">
        <v>1155</v>
      </c>
      <c r="DQ13" s="1" t="s">
        <v>1164</v>
      </c>
      <c r="DR13" s="2">
        <v>0</v>
      </c>
      <c r="DS13" s="2">
        <v>0</v>
      </c>
      <c r="DT13" s="2">
        <v>0</v>
      </c>
      <c r="DU13" s="2">
        <v>0</v>
      </c>
      <c r="DV13" s="2">
        <v>1</v>
      </c>
      <c r="DX13" s="1" t="s">
        <v>2147</v>
      </c>
      <c r="DY13" s="2">
        <v>0</v>
      </c>
      <c r="DZ13" s="2">
        <v>0</v>
      </c>
      <c r="EA13" s="2">
        <v>0</v>
      </c>
      <c r="EB13" s="2">
        <v>0</v>
      </c>
      <c r="EC13" s="2">
        <v>0</v>
      </c>
      <c r="ED13" s="2">
        <v>0</v>
      </c>
      <c r="EE13" s="2">
        <v>0</v>
      </c>
      <c r="EF13" s="2">
        <v>1</v>
      </c>
      <c r="EG13" s="2">
        <v>0</v>
      </c>
      <c r="EH13" s="2">
        <v>0</v>
      </c>
      <c r="EI13" s="2">
        <v>0</v>
      </c>
      <c r="EJ13" s="2">
        <v>0</v>
      </c>
      <c r="EK13" s="2">
        <v>0</v>
      </c>
      <c r="EM13" s="1" t="s">
        <v>1984</v>
      </c>
      <c r="EN13" s="2">
        <v>0</v>
      </c>
      <c r="EO13" s="2">
        <v>0</v>
      </c>
      <c r="EP13" s="2">
        <v>0</v>
      </c>
      <c r="EQ13" s="2">
        <v>0</v>
      </c>
      <c r="ER13" s="2">
        <v>0</v>
      </c>
      <c r="ES13" s="2">
        <v>0</v>
      </c>
      <c r="ET13" s="2">
        <v>1</v>
      </c>
      <c r="EU13" s="2">
        <v>0</v>
      </c>
      <c r="EV13" s="2">
        <v>0</v>
      </c>
      <c r="EW13" s="2">
        <v>0</v>
      </c>
      <c r="EX13" s="2">
        <v>0</v>
      </c>
      <c r="EY13" s="2">
        <v>0</v>
      </c>
      <c r="EZ13" s="2">
        <v>0</v>
      </c>
      <c r="FB13" s="1" t="s">
        <v>1155</v>
      </c>
      <c r="GI13" s="1" t="s">
        <v>2647</v>
      </c>
      <c r="GJ13" s="2">
        <v>0</v>
      </c>
      <c r="GK13" s="2">
        <v>0</v>
      </c>
      <c r="GL13" s="2">
        <v>0</v>
      </c>
      <c r="GM13" s="2">
        <v>0</v>
      </c>
      <c r="GN13" s="2">
        <v>0</v>
      </c>
      <c r="GO13" s="2">
        <v>1</v>
      </c>
      <c r="GP13" s="2">
        <v>0</v>
      </c>
      <c r="GQ13" s="2">
        <v>0</v>
      </c>
      <c r="GR13" s="2">
        <v>0</v>
      </c>
      <c r="GS13" s="2">
        <v>0</v>
      </c>
      <c r="GT13" s="2">
        <v>0</v>
      </c>
      <c r="GU13" s="2">
        <v>0</v>
      </c>
      <c r="GV13" s="2">
        <v>0</v>
      </c>
      <c r="AVT13" s="1">
        <v>136625339</v>
      </c>
      <c r="AVU13" s="1" t="s">
        <v>2921</v>
      </c>
      <c r="AVW13" s="1">
        <v>345</v>
      </c>
    </row>
    <row r="14" spans="1:1271" x14ac:dyDescent="0.3">
      <c r="A14" s="1" t="s">
        <v>2922</v>
      </c>
      <c r="B14" s="1" t="s">
        <v>2923</v>
      </c>
      <c r="C14" s="1" t="s">
        <v>2924</v>
      </c>
      <c r="D14" s="1" t="s">
        <v>2851</v>
      </c>
      <c r="E14" s="2">
        <v>356676101957824</v>
      </c>
      <c r="F14" s="1" t="s">
        <v>2851</v>
      </c>
      <c r="H14" s="2"/>
      <c r="I14" s="1" t="s">
        <v>1659</v>
      </c>
      <c r="J14" s="1" t="s">
        <v>2852</v>
      </c>
      <c r="K14" s="1" t="s">
        <v>2852</v>
      </c>
      <c r="N14" s="1" t="s">
        <v>1389</v>
      </c>
      <c r="O14" s="2">
        <v>0</v>
      </c>
      <c r="P14" s="2">
        <v>0</v>
      </c>
      <c r="Q14" s="2">
        <v>0</v>
      </c>
      <c r="R14" s="2">
        <v>1</v>
      </c>
      <c r="S14" s="2">
        <v>0</v>
      </c>
      <c r="OK14" s="1" t="s">
        <v>1386</v>
      </c>
      <c r="OM14" s="1" t="s">
        <v>2925</v>
      </c>
      <c r="ON14" s="1" t="s">
        <v>1156</v>
      </c>
      <c r="PL14" s="1" t="s">
        <v>2097</v>
      </c>
      <c r="PR14" s="1" t="s">
        <v>1155</v>
      </c>
      <c r="PU14" s="1" t="s">
        <v>1155</v>
      </c>
      <c r="PX14" s="1" t="s">
        <v>1156</v>
      </c>
      <c r="PY14" s="1" t="s">
        <v>1516</v>
      </c>
      <c r="PZ14" s="57" t="s">
        <v>2926</v>
      </c>
      <c r="QA14" s="2">
        <v>0</v>
      </c>
      <c r="QB14" s="2">
        <v>0</v>
      </c>
      <c r="QC14" s="2">
        <v>1</v>
      </c>
      <c r="QD14" s="2">
        <v>0</v>
      </c>
      <c r="QE14" s="2">
        <v>0</v>
      </c>
      <c r="QF14" s="2">
        <v>1</v>
      </c>
      <c r="QG14" s="2">
        <v>0</v>
      </c>
      <c r="QH14" s="2">
        <v>1</v>
      </c>
      <c r="QI14" s="2">
        <v>0</v>
      </c>
      <c r="QJ14" s="2">
        <v>0</v>
      </c>
      <c r="QK14" s="2">
        <v>0</v>
      </c>
      <c r="QL14" s="2">
        <v>0</v>
      </c>
      <c r="QM14" s="2">
        <v>1</v>
      </c>
      <c r="QN14" s="2">
        <v>0</v>
      </c>
      <c r="QO14" s="57" t="s">
        <v>3390</v>
      </c>
      <c r="QP14" s="1" t="s">
        <v>1156</v>
      </c>
      <c r="QQ14" s="1" t="s">
        <v>2193</v>
      </c>
      <c r="QR14" s="2">
        <v>1</v>
      </c>
      <c r="QS14" s="2">
        <v>1</v>
      </c>
      <c r="QT14" s="2">
        <v>0</v>
      </c>
      <c r="QU14" s="2">
        <v>0</v>
      </c>
      <c r="QV14" s="2">
        <v>1</v>
      </c>
      <c r="QW14" s="2">
        <v>1</v>
      </c>
      <c r="QY14" s="1" t="s">
        <v>1155</v>
      </c>
      <c r="RG14" s="2">
        <v>60</v>
      </c>
      <c r="RH14" s="1" t="s">
        <v>1156</v>
      </c>
      <c r="RI14" s="1" t="s">
        <v>1157</v>
      </c>
      <c r="RJ14" s="1" t="s">
        <v>2927</v>
      </c>
      <c r="RK14" s="2">
        <v>0</v>
      </c>
      <c r="RL14" s="2">
        <v>0</v>
      </c>
      <c r="RM14" s="2">
        <v>0</v>
      </c>
      <c r="RN14" s="2">
        <v>0</v>
      </c>
      <c r="RO14" s="2">
        <v>1</v>
      </c>
      <c r="RP14" s="2">
        <v>0</v>
      </c>
      <c r="RQ14" s="2">
        <v>0</v>
      </c>
      <c r="RR14" s="2">
        <v>1</v>
      </c>
      <c r="RS14" s="2">
        <v>0</v>
      </c>
      <c r="RT14" s="2">
        <v>0</v>
      </c>
      <c r="SE14" s="1" t="s">
        <v>2195</v>
      </c>
      <c r="SF14" s="58">
        <v>9</v>
      </c>
      <c r="SG14" s="2">
        <v>0</v>
      </c>
      <c r="SH14" s="2">
        <v>1</v>
      </c>
      <c r="SI14" s="2">
        <v>1</v>
      </c>
      <c r="SJ14" s="2">
        <v>0</v>
      </c>
      <c r="SK14" s="2">
        <v>0</v>
      </c>
      <c r="SL14" s="2">
        <v>4</v>
      </c>
      <c r="SM14" s="2">
        <v>0</v>
      </c>
      <c r="SN14" s="1" t="s">
        <v>2928</v>
      </c>
      <c r="SO14" s="2">
        <v>1</v>
      </c>
      <c r="SP14" s="2">
        <v>1</v>
      </c>
      <c r="SQ14" s="2">
        <v>0</v>
      </c>
      <c r="SR14" s="2">
        <v>0</v>
      </c>
      <c r="SS14" s="2">
        <v>0</v>
      </c>
      <c r="ST14" s="2">
        <v>0</v>
      </c>
      <c r="SU14" s="2">
        <v>0</v>
      </c>
      <c r="SV14" s="2">
        <v>0</v>
      </c>
      <c r="SW14" s="2">
        <v>0</v>
      </c>
      <c r="SX14" s="2">
        <v>0</v>
      </c>
      <c r="SY14" s="2">
        <v>0</v>
      </c>
      <c r="SZ14" s="2">
        <v>0</v>
      </c>
      <c r="TB14" s="1" t="s">
        <v>1155</v>
      </c>
      <c r="TJ14" s="1" t="s">
        <v>1155</v>
      </c>
      <c r="UF14" s="1" t="s">
        <v>2197</v>
      </c>
      <c r="UG14" s="2">
        <v>1</v>
      </c>
      <c r="UH14" s="2">
        <v>1</v>
      </c>
      <c r="UI14" s="2">
        <v>0</v>
      </c>
      <c r="UJ14" s="2">
        <v>0</v>
      </c>
      <c r="UK14" s="2">
        <v>0</v>
      </c>
      <c r="UM14" s="1" t="s">
        <v>1171</v>
      </c>
      <c r="UO14" s="1" t="s">
        <v>1156</v>
      </c>
      <c r="UP14" s="1" t="s">
        <v>2929</v>
      </c>
      <c r="UQ14" s="2">
        <v>1</v>
      </c>
      <c r="UR14" s="2">
        <v>1</v>
      </c>
      <c r="US14" s="2">
        <v>1</v>
      </c>
      <c r="UT14" s="2">
        <v>0</v>
      </c>
      <c r="UU14" s="2">
        <v>1</v>
      </c>
      <c r="UV14" s="2">
        <v>1</v>
      </c>
      <c r="UW14" s="2">
        <v>1</v>
      </c>
      <c r="UX14" s="2">
        <v>1</v>
      </c>
      <c r="UY14" s="2">
        <v>1</v>
      </c>
      <c r="UZ14" s="2">
        <v>0</v>
      </c>
      <c r="VA14" s="2">
        <v>0</v>
      </c>
      <c r="VB14" s="2">
        <v>0</v>
      </c>
      <c r="VC14" s="2">
        <v>0</v>
      </c>
      <c r="VD14" s="2">
        <v>0</v>
      </c>
      <c r="VE14" s="2">
        <v>0</v>
      </c>
      <c r="VF14" s="2">
        <v>0</v>
      </c>
      <c r="VH14" s="1" t="s">
        <v>2930</v>
      </c>
      <c r="VI14" s="2">
        <v>1</v>
      </c>
      <c r="VJ14" s="2">
        <v>0</v>
      </c>
      <c r="VK14" s="2">
        <v>0</v>
      </c>
      <c r="VL14" s="2">
        <v>0</v>
      </c>
      <c r="VM14" s="2">
        <v>1</v>
      </c>
      <c r="VN14" s="2">
        <v>1</v>
      </c>
      <c r="VO14" s="2">
        <v>1</v>
      </c>
      <c r="VP14" s="2">
        <v>1</v>
      </c>
      <c r="VQ14" s="2">
        <v>1</v>
      </c>
      <c r="VR14" s="2">
        <v>0</v>
      </c>
      <c r="VS14" s="2">
        <v>0</v>
      </c>
      <c r="VT14" s="2">
        <v>0</v>
      </c>
      <c r="VU14" s="2">
        <v>0</v>
      </c>
      <c r="VW14" s="57" t="s">
        <v>1155</v>
      </c>
      <c r="XD14" s="1" t="s">
        <v>2931</v>
      </c>
      <c r="XE14" s="2">
        <v>1</v>
      </c>
      <c r="XF14" s="2">
        <v>1</v>
      </c>
      <c r="XG14" s="2">
        <v>1</v>
      </c>
      <c r="XH14" s="2">
        <v>1</v>
      </c>
      <c r="XI14" s="2">
        <v>1</v>
      </c>
      <c r="XJ14" s="2">
        <v>1</v>
      </c>
      <c r="XK14" s="2">
        <v>1</v>
      </c>
      <c r="XL14" s="2">
        <v>1</v>
      </c>
      <c r="XM14" s="2">
        <v>1</v>
      </c>
      <c r="XN14" s="2">
        <v>1</v>
      </c>
      <c r="XO14" s="2">
        <v>1</v>
      </c>
      <c r="XP14" s="2">
        <v>0</v>
      </c>
      <c r="XQ14" s="2">
        <v>0</v>
      </c>
      <c r="XT14" s="1" t="s">
        <v>1156</v>
      </c>
      <c r="XU14" s="1" t="s">
        <v>1530</v>
      </c>
      <c r="XV14" s="2">
        <v>1</v>
      </c>
      <c r="XW14" s="2">
        <v>1</v>
      </c>
      <c r="XX14" s="2">
        <v>1</v>
      </c>
      <c r="XY14" s="2">
        <v>1</v>
      </c>
      <c r="XZ14" s="2">
        <v>1</v>
      </c>
      <c r="YA14" s="2">
        <v>1</v>
      </c>
      <c r="YB14" s="2">
        <v>0</v>
      </c>
      <c r="YC14" s="2">
        <v>0</v>
      </c>
      <c r="YE14" s="1" t="s">
        <v>1156</v>
      </c>
      <c r="YF14" s="1" t="s">
        <v>1155</v>
      </c>
      <c r="YH14" s="1" t="s">
        <v>1156</v>
      </c>
      <c r="YI14" s="1" t="s">
        <v>2204</v>
      </c>
      <c r="YJ14" s="2">
        <v>1</v>
      </c>
      <c r="YK14" s="2">
        <v>1</v>
      </c>
      <c r="YL14" s="2">
        <v>1</v>
      </c>
      <c r="YM14" s="2">
        <v>1</v>
      </c>
      <c r="YN14" s="2">
        <v>1</v>
      </c>
      <c r="YO14" s="2">
        <v>1</v>
      </c>
      <c r="YP14" s="2">
        <v>0</v>
      </c>
      <c r="YQ14" s="2">
        <v>0</v>
      </c>
      <c r="YS14" s="1" t="s">
        <v>1156</v>
      </c>
      <c r="YT14" s="1" t="s">
        <v>2205</v>
      </c>
      <c r="YU14" s="2">
        <v>0</v>
      </c>
      <c r="YV14" s="2">
        <v>0</v>
      </c>
      <c r="YW14" s="2">
        <v>1</v>
      </c>
      <c r="YX14" s="2">
        <v>0</v>
      </c>
      <c r="YY14" s="2">
        <v>0</v>
      </c>
      <c r="ZA14" s="1" t="s">
        <v>1156</v>
      </c>
      <c r="ZB14" s="2">
        <v>4</v>
      </c>
      <c r="ZF14" s="1" t="s">
        <v>1155</v>
      </c>
      <c r="ZH14" s="2">
        <v>3</v>
      </c>
      <c r="ZI14" s="1" t="s">
        <v>2109</v>
      </c>
      <c r="ZK14" s="1" t="s">
        <v>1155</v>
      </c>
      <c r="ZL14" s="1" t="s">
        <v>1156</v>
      </c>
      <c r="ZM14" s="1" t="s">
        <v>1156</v>
      </c>
      <c r="ZN14" s="1" t="s">
        <v>1155</v>
      </c>
      <c r="ZO14" s="1" t="s">
        <v>1156</v>
      </c>
      <c r="ZP14" s="2">
        <v>3</v>
      </c>
      <c r="ZQ14" s="1" t="s">
        <v>1155</v>
      </c>
      <c r="AVT14" s="1">
        <v>136639806</v>
      </c>
      <c r="AVU14" s="1" t="s">
        <v>2932</v>
      </c>
      <c r="AVW14" s="1">
        <v>352</v>
      </c>
    </row>
    <row r="15" spans="1:1271" x14ac:dyDescent="0.3">
      <c r="A15" s="1" t="s">
        <v>2933</v>
      </c>
      <c r="B15" s="1" t="s">
        <v>2934</v>
      </c>
      <c r="C15" s="1" t="s">
        <v>2935</v>
      </c>
      <c r="D15" s="1" t="s">
        <v>2851</v>
      </c>
      <c r="E15" s="2">
        <v>356676101957824</v>
      </c>
      <c r="F15" s="1" t="s">
        <v>2851</v>
      </c>
      <c r="H15" s="2"/>
      <c r="I15" s="1" t="s">
        <v>1659</v>
      </c>
      <c r="J15" s="1" t="s">
        <v>2852</v>
      </c>
      <c r="K15" s="1" t="s">
        <v>2852</v>
      </c>
      <c r="N15" s="1" t="s">
        <v>1153</v>
      </c>
      <c r="O15" s="2">
        <v>1</v>
      </c>
      <c r="P15" s="2">
        <v>0</v>
      </c>
      <c r="Q15" s="2">
        <v>0</v>
      </c>
      <c r="R15" s="2">
        <v>0</v>
      </c>
      <c r="S15" s="2">
        <v>0</v>
      </c>
      <c r="U15" s="1" t="s">
        <v>2277</v>
      </c>
      <c r="W15" s="1" t="s">
        <v>1155</v>
      </c>
      <c r="X15" s="1" t="s">
        <v>1708</v>
      </c>
      <c r="Y15" s="1" t="s">
        <v>2936</v>
      </c>
      <c r="AA15" s="1" t="s">
        <v>1709</v>
      </c>
      <c r="AN15" s="1" t="s">
        <v>1192</v>
      </c>
      <c r="AO15" s="2">
        <v>180</v>
      </c>
      <c r="AP15" s="1" t="s">
        <v>2559</v>
      </c>
      <c r="AR15" s="1" t="s">
        <v>2293</v>
      </c>
      <c r="AS15" s="1" t="s">
        <v>1841</v>
      </c>
      <c r="AT15" s="1" t="s">
        <v>1156</v>
      </c>
      <c r="AU15" s="1" t="s">
        <v>1157</v>
      </c>
      <c r="AV15" s="1" t="s">
        <v>1191</v>
      </c>
      <c r="AW15" s="2">
        <v>1</v>
      </c>
      <c r="AX15" s="2">
        <v>0</v>
      </c>
      <c r="AY15" s="2">
        <v>0</v>
      </c>
      <c r="AZ15" s="2">
        <v>0</v>
      </c>
      <c r="BA15" s="2">
        <v>0</v>
      </c>
      <c r="BB15" s="2">
        <v>0</v>
      </c>
      <c r="BC15" s="2">
        <v>0</v>
      </c>
      <c r="BD15" s="2">
        <v>0</v>
      </c>
      <c r="BO15" s="1" t="s">
        <v>1159</v>
      </c>
      <c r="BP15" s="2">
        <v>0</v>
      </c>
      <c r="BQ15" s="2">
        <v>0</v>
      </c>
      <c r="BR15" s="2">
        <v>1</v>
      </c>
      <c r="BS15" s="2">
        <v>0</v>
      </c>
      <c r="BT15" s="2">
        <v>0</v>
      </c>
      <c r="BU15" s="2">
        <v>0</v>
      </c>
      <c r="BV15" s="2">
        <v>0</v>
      </c>
      <c r="BW15" s="2">
        <v>0</v>
      </c>
      <c r="BX15" s="2">
        <v>0</v>
      </c>
      <c r="BY15" s="2">
        <v>0</v>
      </c>
      <c r="BZ15" s="2">
        <v>0</v>
      </c>
      <c r="CA15" s="2">
        <v>0</v>
      </c>
      <c r="CC15" s="1" t="s">
        <v>1155</v>
      </c>
      <c r="DQ15" s="1" t="s">
        <v>1164</v>
      </c>
      <c r="DR15" s="2">
        <v>0</v>
      </c>
      <c r="DS15" s="2">
        <v>0</v>
      </c>
      <c r="DT15" s="2">
        <v>0</v>
      </c>
      <c r="DU15" s="2">
        <v>0</v>
      </c>
      <c r="DV15" s="2">
        <v>1</v>
      </c>
      <c r="DX15" s="1" t="s">
        <v>2666</v>
      </c>
      <c r="DY15" s="2">
        <v>0</v>
      </c>
      <c r="DZ15" s="2">
        <v>1</v>
      </c>
      <c r="EA15" s="2">
        <v>1</v>
      </c>
      <c r="EB15" s="2">
        <v>0</v>
      </c>
      <c r="EC15" s="2">
        <v>0</v>
      </c>
      <c r="ED15" s="2">
        <v>0</v>
      </c>
      <c r="EE15" s="2">
        <v>0</v>
      </c>
      <c r="EF15" s="2">
        <v>0</v>
      </c>
      <c r="EG15" s="2">
        <v>1</v>
      </c>
      <c r="EH15" s="2">
        <v>0</v>
      </c>
      <c r="EI15" s="2">
        <v>0</v>
      </c>
      <c r="EJ15" s="2">
        <v>0</v>
      </c>
      <c r="EK15" s="2">
        <v>0</v>
      </c>
      <c r="EM15" s="1" t="s">
        <v>1164</v>
      </c>
      <c r="EN15" s="2">
        <v>0</v>
      </c>
      <c r="EO15" s="2">
        <v>0</v>
      </c>
      <c r="EP15" s="2">
        <v>0</v>
      </c>
      <c r="EQ15" s="2">
        <v>0</v>
      </c>
      <c r="ER15" s="2">
        <v>0</v>
      </c>
      <c r="ES15" s="2">
        <v>0</v>
      </c>
      <c r="ET15" s="2">
        <v>0</v>
      </c>
      <c r="EU15" s="2">
        <v>0</v>
      </c>
      <c r="EV15" s="2">
        <v>0</v>
      </c>
      <c r="EW15" s="2">
        <v>1</v>
      </c>
      <c r="EX15" s="2">
        <v>0</v>
      </c>
      <c r="EY15" s="2">
        <v>0</v>
      </c>
      <c r="EZ15" s="2">
        <v>0</v>
      </c>
      <c r="FB15" s="1" t="s">
        <v>1155</v>
      </c>
      <c r="GI15" s="1" t="s">
        <v>2937</v>
      </c>
      <c r="GJ15" s="2">
        <v>0</v>
      </c>
      <c r="GK15" s="2">
        <v>1</v>
      </c>
      <c r="GL15" s="2">
        <v>1</v>
      </c>
      <c r="GM15" s="2">
        <v>0</v>
      </c>
      <c r="GN15" s="2">
        <v>1</v>
      </c>
      <c r="GO15" s="2">
        <v>1</v>
      </c>
      <c r="GP15" s="2">
        <v>1</v>
      </c>
      <c r="GQ15" s="2">
        <v>1</v>
      </c>
      <c r="GR15" s="2">
        <v>1</v>
      </c>
      <c r="GS15" s="2">
        <v>0</v>
      </c>
      <c r="GT15" s="2">
        <v>0</v>
      </c>
      <c r="GU15" s="2">
        <v>0</v>
      </c>
      <c r="GV15" s="2">
        <v>0</v>
      </c>
      <c r="AVT15" s="1">
        <v>136639977</v>
      </c>
      <c r="AVU15" s="1" t="s">
        <v>2938</v>
      </c>
      <c r="AVW15" s="1">
        <v>353</v>
      </c>
    </row>
    <row r="16" spans="1:1271" x14ac:dyDescent="0.3">
      <c r="A16" s="1" t="s">
        <v>2939</v>
      </c>
      <c r="B16" s="1" t="s">
        <v>2940</v>
      </c>
      <c r="C16" s="1" t="s">
        <v>2941</v>
      </c>
      <c r="D16" s="1" t="s">
        <v>2851</v>
      </c>
      <c r="E16" s="2">
        <v>356676101957824</v>
      </c>
      <c r="F16" s="1" t="s">
        <v>2851</v>
      </c>
      <c r="H16" s="2"/>
      <c r="I16" s="1" t="s">
        <v>1659</v>
      </c>
      <c r="J16" s="1" t="s">
        <v>2852</v>
      </c>
      <c r="K16" s="1" t="s">
        <v>2852</v>
      </c>
      <c r="N16" s="1" t="s">
        <v>1153</v>
      </c>
      <c r="O16" s="2">
        <v>1</v>
      </c>
      <c r="P16" s="2">
        <v>0</v>
      </c>
      <c r="Q16" s="2">
        <v>0</v>
      </c>
      <c r="R16" s="2">
        <v>0</v>
      </c>
      <c r="S16" s="2">
        <v>0</v>
      </c>
      <c r="U16" s="1" t="s">
        <v>2277</v>
      </c>
      <c r="W16" s="1" t="s">
        <v>1156</v>
      </c>
      <c r="X16" s="1" t="s">
        <v>1708</v>
      </c>
      <c r="Y16" s="1" t="s">
        <v>1184</v>
      </c>
      <c r="AA16" s="1" t="s">
        <v>1709</v>
      </c>
      <c r="AN16" s="1" t="s">
        <v>1192</v>
      </c>
      <c r="AO16" s="2">
        <v>100</v>
      </c>
      <c r="AP16" s="1" t="s">
        <v>2145</v>
      </c>
      <c r="AR16" s="1" t="s">
        <v>1710</v>
      </c>
      <c r="AS16" s="1" t="s">
        <v>1833</v>
      </c>
      <c r="AT16" s="1" t="s">
        <v>1156</v>
      </c>
      <c r="AU16" s="1" t="s">
        <v>1157</v>
      </c>
      <c r="AV16" s="1" t="s">
        <v>2942</v>
      </c>
      <c r="AW16" s="2">
        <v>1</v>
      </c>
      <c r="AX16" s="2">
        <v>0</v>
      </c>
      <c r="AY16" s="2">
        <v>0</v>
      </c>
      <c r="AZ16" s="2">
        <v>0</v>
      </c>
      <c r="BA16" s="2">
        <v>0</v>
      </c>
      <c r="BB16" s="2">
        <v>0</v>
      </c>
      <c r="BC16" s="2">
        <v>0</v>
      </c>
      <c r="BD16" s="2">
        <v>0</v>
      </c>
      <c r="BO16" s="1" t="s">
        <v>2621</v>
      </c>
      <c r="BP16" s="2">
        <v>0</v>
      </c>
      <c r="BQ16" s="2">
        <v>0</v>
      </c>
      <c r="BR16" s="2">
        <v>0</v>
      </c>
      <c r="BS16" s="2">
        <v>0</v>
      </c>
      <c r="BT16" s="2">
        <v>1</v>
      </c>
      <c r="BU16" s="2">
        <v>0</v>
      </c>
      <c r="BV16" s="2">
        <v>0</v>
      </c>
      <c r="BW16" s="2">
        <v>0</v>
      </c>
      <c r="BX16" s="2">
        <v>0</v>
      </c>
      <c r="BY16" s="2">
        <v>0</v>
      </c>
      <c r="BZ16" s="2">
        <v>0</v>
      </c>
      <c r="CA16" s="2">
        <v>0</v>
      </c>
      <c r="CC16" s="1" t="s">
        <v>1155</v>
      </c>
      <c r="DQ16" s="1" t="s">
        <v>1164</v>
      </c>
      <c r="DR16" s="2">
        <v>0</v>
      </c>
      <c r="DS16" s="2">
        <v>0</v>
      </c>
      <c r="DT16" s="2">
        <v>0</v>
      </c>
      <c r="DU16" s="2">
        <v>0</v>
      </c>
      <c r="DV16" s="2">
        <v>1</v>
      </c>
      <c r="DX16" s="1" t="s">
        <v>2943</v>
      </c>
      <c r="DY16" s="2">
        <v>0</v>
      </c>
      <c r="DZ16" s="2">
        <v>0</v>
      </c>
      <c r="EA16" s="2">
        <v>0</v>
      </c>
      <c r="EB16" s="2">
        <v>0</v>
      </c>
      <c r="EC16" s="2">
        <v>0</v>
      </c>
      <c r="ED16" s="2">
        <v>0</v>
      </c>
      <c r="EE16" s="2">
        <v>0</v>
      </c>
      <c r="EF16" s="2">
        <v>1</v>
      </c>
      <c r="EG16" s="2">
        <v>1</v>
      </c>
      <c r="EH16" s="2">
        <v>0</v>
      </c>
      <c r="EI16" s="2">
        <v>0</v>
      </c>
      <c r="EJ16" s="2">
        <v>0</v>
      </c>
      <c r="EK16" s="2">
        <v>1</v>
      </c>
      <c r="EM16" s="1" t="s">
        <v>2377</v>
      </c>
      <c r="EN16" s="2">
        <v>0</v>
      </c>
      <c r="EO16" s="2">
        <v>0</v>
      </c>
      <c r="EP16" s="2">
        <v>0</v>
      </c>
      <c r="EQ16" s="2">
        <v>0</v>
      </c>
      <c r="ER16" s="2">
        <v>0</v>
      </c>
      <c r="ES16" s="2">
        <v>1</v>
      </c>
      <c r="ET16" s="2">
        <v>0</v>
      </c>
      <c r="EU16" s="2">
        <v>0</v>
      </c>
      <c r="EV16" s="2">
        <v>0</v>
      </c>
      <c r="EW16" s="2">
        <v>0</v>
      </c>
      <c r="EX16" s="2">
        <v>0</v>
      </c>
      <c r="EY16" s="2">
        <v>0</v>
      </c>
      <c r="EZ16" s="2">
        <v>0</v>
      </c>
      <c r="FB16" s="1" t="s">
        <v>1155</v>
      </c>
      <c r="GI16" s="1" t="s">
        <v>2937</v>
      </c>
      <c r="GJ16" s="2">
        <v>0</v>
      </c>
      <c r="GK16" s="2">
        <v>1</v>
      </c>
      <c r="GL16" s="2">
        <v>1</v>
      </c>
      <c r="GM16" s="2">
        <v>0</v>
      </c>
      <c r="GN16" s="2">
        <v>1</v>
      </c>
      <c r="GO16" s="2">
        <v>1</v>
      </c>
      <c r="GP16" s="2">
        <v>1</v>
      </c>
      <c r="GQ16" s="2">
        <v>1</v>
      </c>
      <c r="GR16" s="2">
        <v>1</v>
      </c>
      <c r="GS16" s="2">
        <v>0</v>
      </c>
      <c r="GT16" s="2">
        <v>0</v>
      </c>
      <c r="GU16" s="2">
        <v>0</v>
      </c>
      <c r="GV16" s="2">
        <v>0</v>
      </c>
      <c r="AVT16" s="1">
        <v>136640134</v>
      </c>
      <c r="AVU16" s="1" t="s">
        <v>2944</v>
      </c>
      <c r="AVW16" s="1">
        <v>354</v>
      </c>
    </row>
    <row r="17" spans="1:204 1268:1271" x14ac:dyDescent="0.3">
      <c r="A17" s="1" t="s">
        <v>2945</v>
      </c>
      <c r="B17" s="1" t="s">
        <v>2946</v>
      </c>
      <c r="C17" s="1" t="s">
        <v>2947</v>
      </c>
      <c r="D17" s="1" t="s">
        <v>2851</v>
      </c>
      <c r="E17" s="2">
        <v>356676101957824</v>
      </c>
      <c r="F17" s="1" t="s">
        <v>2851</v>
      </c>
      <c r="H17" s="2"/>
      <c r="I17" s="1" t="s">
        <v>1659</v>
      </c>
      <c r="J17" s="1" t="s">
        <v>2852</v>
      </c>
      <c r="K17" s="1" t="s">
        <v>2852</v>
      </c>
      <c r="N17" s="1" t="s">
        <v>1153</v>
      </c>
      <c r="O17" s="2">
        <v>1</v>
      </c>
      <c r="P17" s="2">
        <v>0</v>
      </c>
      <c r="Q17" s="2">
        <v>0</v>
      </c>
      <c r="R17" s="2">
        <v>0</v>
      </c>
      <c r="S17" s="2">
        <v>0</v>
      </c>
      <c r="U17" s="1" t="s">
        <v>2277</v>
      </c>
      <c r="W17" s="1" t="s">
        <v>1156</v>
      </c>
      <c r="X17" s="1" t="s">
        <v>1708</v>
      </c>
      <c r="Y17" s="1" t="s">
        <v>1184</v>
      </c>
      <c r="AA17" s="1" t="s">
        <v>1709</v>
      </c>
      <c r="AN17" s="1" t="s">
        <v>1192</v>
      </c>
      <c r="AO17" s="2">
        <v>50</v>
      </c>
      <c r="AP17" s="1" t="s">
        <v>1398</v>
      </c>
      <c r="AR17" s="1" t="s">
        <v>1710</v>
      </c>
      <c r="AS17" s="1" t="s">
        <v>1833</v>
      </c>
      <c r="AT17" s="1" t="s">
        <v>1156</v>
      </c>
      <c r="AU17" s="1" t="s">
        <v>1166</v>
      </c>
      <c r="BF17" s="1" t="s">
        <v>1517</v>
      </c>
      <c r="BG17" s="2">
        <v>1</v>
      </c>
      <c r="BH17" s="2">
        <v>0</v>
      </c>
      <c r="BI17" s="2">
        <v>0</v>
      </c>
      <c r="BJ17" s="2">
        <v>0</v>
      </c>
      <c r="BK17" s="2">
        <v>0</v>
      </c>
      <c r="BL17" s="2">
        <v>0</v>
      </c>
      <c r="BM17" s="2">
        <v>0</v>
      </c>
      <c r="BO17" s="1" t="s">
        <v>1159</v>
      </c>
      <c r="BP17" s="2">
        <v>0</v>
      </c>
      <c r="BQ17" s="2">
        <v>0</v>
      </c>
      <c r="BR17" s="2">
        <v>1</v>
      </c>
      <c r="BS17" s="2">
        <v>0</v>
      </c>
      <c r="BT17" s="2">
        <v>0</v>
      </c>
      <c r="BU17" s="2">
        <v>0</v>
      </c>
      <c r="BV17" s="2">
        <v>0</v>
      </c>
      <c r="BW17" s="2">
        <v>0</v>
      </c>
      <c r="BX17" s="2">
        <v>0</v>
      </c>
      <c r="BY17" s="2">
        <v>0</v>
      </c>
      <c r="BZ17" s="2">
        <v>0</v>
      </c>
      <c r="CA17" s="2">
        <v>0</v>
      </c>
      <c r="CC17" s="1" t="s">
        <v>1155</v>
      </c>
      <c r="DQ17" s="1" t="s">
        <v>1164</v>
      </c>
      <c r="DR17" s="2">
        <v>0</v>
      </c>
      <c r="DS17" s="2">
        <v>0</v>
      </c>
      <c r="DT17" s="2">
        <v>0</v>
      </c>
      <c r="DU17" s="2">
        <v>0</v>
      </c>
      <c r="DV17" s="2">
        <v>1</v>
      </c>
      <c r="DX17" s="1" t="s">
        <v>2948</v>
      </c>
      <c r="DY17" s="2">
        <v>1</v>
      </c>
      <c r="DZ17" s="2">
        <v>1</v>
      </c>
      <c r="EA17" s="2">
        <v>0</v>
      </c>
      <c r="EB17" s="2">
        <v>0</v>
      </c>
      <c r="EC17" s="2">
        <v>0</v>
      </c>
      <c r="ED17" s="2">
        <v>0</v>
      </c>
      <c r="EE17" s="2">
        <v>0</v>
      </c>
      <c r="EF17" s="2">
        <v>0</v>
      </c>
      <c r="EG17" s="2">
        <v>1</v>
      </c>
      <c r="EH17" s="2">
        <v>0</v>
      </c>
      <c r="EI17" s="2">
        <v>0</v>
      </c>
      <c r="EJ17" s="2">
        <v>0</v>
      </c>
      <c r="EK17" s="2">
        <v>1</v>
      </c>
      <c r="EM17" s="1" t="s">
        <v>1164</v>
      </c>
      <c r="EN17" s="2">
        <v>0</v>
      </c>
      <c r="EO17" s="2">
        <v>0</v>
      </c>
      <c r="EP17" s="2">
        <v>0</v>
      </c>
      <c r="EQ17" s="2">
        <v>0</v>
      </c>
      <c r="ER17" s="2">
        <v>0</v>
      </c>
      <c r="ES17" s="2">
        <v>0</v>
      </c>
      <c r="ET17" s="2">
        <v>0</v>
      </c>
      <c r="EU17" s="2">
        <v>0</v>
      </c>
      <c r="EV17" s="2">
        <v>0</v>
      </c>
      <c r="EW17" s="2">
        <v>1</v>
      </c>
      <c r="EX17" s="2">
        <v>0</v>
      </c>
      <c r="EY17" s="2">
        <v>0</v>
      </c>
      <c r="EZ17" s="2">
        <v>0</v>
      </c>
      <c r="FB17" s="1" t="s">
        <v>1155</v>
      </c>
      <c r="GI17" s="1" t="s">
        <v>2280</v>
      </c>
      <c r="GJ17" s="2">
        <v>0</v>
      </c>
      <c r="GK17" s="2">
        <v>1</v>
      </c>
      <c r="GL17" s="2">
        <v>1</v>
      </c>
      <c r="GM17" s="2">
        <v>0</v>
      </c>
      <c r="GN17" s="2">
        <v>0</v>
      </c>
      <c r="GO17" s="2">
        <v>0</v>
      </c>
      <c r="GP17" s="2">
        <v>1</v>
      </c>
      <c r="GQ17" s="2">
        <v>0</v>
      </c>
      <c r="GR17" s="2">
        <v>0</v>
      </c>
      <c r="GS17" s="2">
        <v>0</v>
      </c>
      <c r="GT17" s="2">
        <v>0</v>
      </c>
      <c r="GU17" s="2">
        <v>0</v>
      </c>
      <c r="GV17" s="2">
        <v>0</v>
      </c>
      <c r="AVT17" s="1">
        <v>136640257</v>
      </c>
      <c r="AVU17" s="1" t="s">
        <v>2949</v>
      </c>
      <c r="AVW17" s="1">
        <v>355</v>
      </c>
    </row>
    <row r="18" spans="1:204 1268:1271" x14ac:dyDescent="0.3">
      <c r="A18" s="1" t="s">
        <v>2950</v>
      </c>
      <c r="B18" s="1" t="s">
        <v>2951</v>
      </c>
      <c r="C18" s="1" t="s">
        <v>2952</v>
      </c>
      <c r="D18" s="1" t="s">
        <v>2851</v>
      </c>
      <c r="E18" s="2">
        <v>356676101957824</v>
      </c>
      <c r="F18" s="1" t="s">
        <v>2851</v>
      </c>
      <c r="H18" s="2"/>
      <c r="I18" s="1" t="s">
        <v>1659</v>
      </c>
      <c r="J18" s="1" t="s">
        <v>2852</v>
      </c>
      <c r="K18" s="1" t="s">
        <v>2852</v>
      </c>
      <c r="N18" s="1" t="s">
        <v>1153</v>
      </c>
      <c r="O18" s="2">
        <v>1</v>
      </c>
      <c r="P18" s="2">
        <v>0</v>
      </c>
      <c r="Q18" s="2">
        <v>0</v>
      </c>
      <c r="R18" s="2">
        <v>0</v>
      </c>
      <c r="S18" s="2">
        <v>0</v>
      </c>
      <c r="U18" s="1" t="s">
        <v>2277</v>
      </c>
      <c r="W18" s="1" t="s">
        <v>1155</v>
      </c>
      <c r="X18" s="1" t="s">
        <v>1708</v>
      </c>
      <c r="Y18" s="1" t="s">
        <v>2291</v>
      </c>
      <c r="AA18" s="1" t="s">
        <v>2348</v>
      </c>
      <c r="AN18" s="1" t="s">
        <v>1192</v>
      </c>
      <c r="AO18" s="2">
        <v>95</v>
      </c>
      <c r="AP18" s="1" t="s">
        <v>2145</v>
      </c>
      <c r="AR18" s="1" t="s">
        <v>1710</v>
      </c>
      <c r="AS18" s="1" t="s">
        <v>1833</v>
      </c>
      <c r="AT18" s="1" t="s">
        <v>1156</v>
      </c>
      <c r="AU18" s="1" t="s">
        <v>1161</v>
      </c>
      <c r="BF18" s="1" t="s">
        <v>1517</v>
      </c>
      <c r="BG18" s="2">
        <v>1</v>
      </c>
      <c r="BH18" s="2">
        <v>0</v>
      </c>
      <c r="BI18" s="2">
        <v>0</v>
      </c>
      <c r="BJ18" s="2">
        <v>0</v>
      </c>
      <c r="BK18" s="2">
        <v>0</v>
      </c>
      <c r="BL18" s="2">
        <v>0</v>
      </c>
      <c r="BM18" s="2">
        <v>0</v>
      </c>
      <c r="BO18" s="1" t="s">
        <v>1159</v>
      </c>
      <c r="BP18" s="2">
        <v>0</v>
      </c>
      <c r="BQ18" s="2">
        <v>0</v>
      </c>
      <c r="BR18" s="2">
        <v>1</v>
      </c>
      <c r="BS18" s="2">
        <v>0</v>
      </c>
      <c r="BT18" s="2">
        <v>0</v>
      </c>
      <c r="BU18" s="2">
        <v>0</v>
      </c>
      <c r="BV18" s="2">
        <v>0</v>
      </c>
      <c r="BW18" s="2">
        <v>0</v>
      </c>
      <c r="BX18" s="2">
        <v>0</v>
      </c>
      <c r="BY18" s="2">
        <v>0</v>
      </c>
      <c r="BZ18" s="2">
        <v>0</v>
      </c>
      <c r="CA18" s="2">
        <v>0</v>
      </c>
      <c r="CC18" s="1" t="s">
        <v>1155</v>
      </c>
      <c r="DQ18" s="1" t="s">
        <v>1164</v>
      </c>
      <c r="DR18" s="2">
        <v>0</v>
      </c>
      <c r="DS18" s="2">
        <v>0</v>
      </c>
      <c r="DT18" s="2">
        <v>0</v>
      </c>
      <c r="DU18" s="2">
        <v>0</v>
      </c>
      <c r="DV18" s="2">
        <v>1</v>
      </c>
      <c r="DX18" s="1" t="s">
        <v>2884</v>
      </c>
      <c r="DY18" s="2">
        <v>0</v>
      </c>
      <c r="DZ18" s="2">
        <v>0</v>
      </c>
      <c r="EA18" s="2">
        <v>0</v>
      </c>
      <c r="EB18" s="2">
        <v>0</v>
      </c>
      <c r="EC18" s="2">
        <v>0</v>
      </c>
      <c r="ED18" s="2">
        <v>0</v>
      </c>
      <c r="EE18" s="2">
        <v>0</v>
      </c>
      <c r="EF18" s="2">
        <v>1</v>
      </c>
      <c r="EG18" s="2">
        <v>1</v>
      </c>
      <c r="EH18" s="2">
        <v>0</v>
      </c>
      <c r="EI18" s="2">
        <v>0</v>
      </c>
      <c r="EJ18" s="2">
        <v>0</v>
      </c>
      <c r="EK18" s="2">
        <v>0</v>
      </c>
      <c r="EM18" s="1" t="s">
        <v>2478</v>
      </c>
      <c r="EN18" s="2">
        <v>0</v>
      </c>
      <c r="EO18" s="2">
        <v>0</v>
      </c>
      <c r="EP18" s="2">
        <v>0</v>
      </c>
      <c r="EQ18" s="2">
        <v>0</v>
      </c>
      <c r="ER18" s="2">
        <v>0</v>
      </c>
      <c r="ES18" s="2">
        <v>0</v>
      </c>
      <c r="ET18" s="2">
        <v>0</v>
      </c>
      <c r="EU18" s="2">
        <v>0</v>
      </c>
      <c r="EV18" s="2">
        <v>1</v>
      </c>
      <c r="EW18" s="2">
        <v>0</v>
      </c>
      <c r="EX18" s="2">
        <v>0</v>
      </c>
      <c r="EY18" s="2">
        <v>0</v>
      </c>
      <c r="EZ18" s="2">
        <v>0</v>
      </c>
      <c r="FB18" s="1" t="s">
        <v>1155</v>
      </c>
      <c r="GI18" s="1" t="s">
        <v>2953</v>
      </c>
      <c r="GJ18" s="2">
        <v>1</v>
      </c>
      <c r="GK18" s="2">
        <v>1</v>
      </c>
      <c r="GL18" s="2">
        <v>1</v>
      </c>
      <c r="GM18" s="2">
        <v>0</v>
      </c>
      <c r="GN18" s="2">
        <v>0</v>
      </c>
      <c r="GO18" s="2">
        <v>1</v>
      </c>
      <c r="GP18" s="2">
        <v>1</v>
      </c>
      <c r="GQ18" s="2">
        <v>0</v>
      </c>
      <c r="GR18" s="2">
        <v>0</v>
      </c>
      <c r="GS18" s="2">
        <v>0</v>
      </c>
      <c r="GT18" s="2">
        <v>0</v>
      </c>
      <c r="GU18" s="2">
        <v>0</v>
      </c>
      <c r="GV18" s="2">
        <v>0</v>
      </c>
      <c r="AVT18" s="1">
        <v>136640443</v>
      </c>
      <c r="AVU18" s="1" t="s">
        <v>2954</v>
      </c>
      <c r="AVW18" s="1">
        <v>356</v>
      </c>
    </row>
  </sheetData>
  <autoFilter ref="A1:AXY18"/>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S223"/>
  <sheetViews>
    <sheetView zoomScale="90" zoomScaleNormal="90" workbookViewId="0">
      <selection activeCell="N162" sqref="N162"/>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COUNTIFS('MINGALA_Cleaned Data'!N:N,"eau",'MINGALA_Cleaned Data'!K:K,"MINGALA")</f>
        <v>13</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COUNTIF('MINGALA_Cleaned Data'!U:U,"pompe_pied")</f>
        <v>0</v>
      </c>
      <c r="C7" s="24">
        <f>COUNTIF('MINGALA_Cleaned Data'!U:U,"pompe_main")</f>
        <v>1</v>
      </c>
      <c r="D7" s="24">
        <f>COUNTIF('MINGALA_Cleaned Data'!U:U,"source_amenagee")</f>
        <v>3</v>
      </c>
      <c r="E7" s="24">
        <f>COUNTIF('MINGALA_Cleaned Data'!U:U,"source_non_amenagee")</f>
        <v>9</v>
      </c>
      <c r="F7" s="24">
        <f>COUNTIF('MINGALA_Cleaned Data'!U:U,"puits_protege")</f>
        <v>0</v>
      </c>
      <c r="G7" s="24">
        <f>COUNTIF('MINGALA_Cleaned Data'!U:U,"puits_non_protege")</f>
        <v>0</v>
      </c>
      <c r="H7" s="24">
        <f>COUNTIF('MINGALA_Cleaned Data'!U:U,"camion")</f>
        <v>0</v>
      </c>
      <c r="I7" s="109">
        <f>SUM(B7:H7)</f>
        <v>13</v>
      </c>
      <c r="J7" s="10"/>
      <c r="K7" s="10"/>
      <c r="L7" s="10"/>
      <c r="M7" s="10"/>
      <c r="N7" s="10"/>
      <c r="O7" s="10"/>
      <c r="P7" s="10"/>
      <c r="Q7" s="10"/>
      <c r="R7" s="10"/>
      <c r="Z7" s="1"/>
    </row>
    <row r="8" spans="1:26" s="106" customFormat="1" ht="26" x14ac:dyDescent="0.3">
      <c r="A8" s="101" t="s">
        <v>3246</v>
      </c>
      <c r="B8" s="104">
        <f>(B7/$B$3)</f>
        <v>0</v>
      </c>
      <c r="C8" s="104">
        <f t="shared" ref="C8:H8" si="0">(C7/$B$3)</f>
        <v>7.6923076923076927E-2</v>
      </c>
      <c r="D8" s="104">
        <f t="shared" si="0"/>
        <v>0.23076923076923078</v>
      </c>
      <c r="E8" s="104">
        <f t="shared" si="0"/>
        <v>0.69230769230769229</v>
      </c>
      <c r="F8" s="104">
        <f t="shared" si="0"/>
        <v>0</v>
      </c>
      <c r="G8" s="104">
        <f t="shared" si="0"/>
        <v>0</v>
      </c>
      <c r="H8" s="104">
        <f t="shared" si="0"/>
        <v>0</v>
      </c>
      <c r="I8" s="102">
        <f>SUM(B8:H8)</f>
        <v>1</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COUNTIF('MINGALA_Cleaned Data'!X:X,"oui")</f>
        <v>9</v>
      </c>
      <c r="C13" s="24">
        <f>COUNTIF('MINGALA_Cleaned Data'!X:X,"non")</f>
        <v>0</v>
      </c>
      <c r="D13" s="24">
        <f>COUNTIF('MINGALA_Cleaned Data'!X:X,"endommage")</f>
        <v>4</v>
      </c>
      <c r="E13" s="52">
        <f>SUM(B13,D13)</f>
        <v>13</v>
      </c>
      <c r="F13" s="10"/>
      <c r="G13" s="10"/>
      <c r="H13" s="10"/>
      <c r="I13" s="10"/>
      <c r="J13" s="10"/>
      <c r="K13" s="10"/>
      <c r="L13" s="10"/>
      <c r="M13" s="10"/>
      <c r="N13" s="10"/>
      <c r="O13" s="10"/>
      <c r="P13" s="10"/>
      <c r="Q13" s="10"/>
      <c r="R13" s="10"/>
    </row>
    <row r="14" spans="1:26" s="106" customFormat="1" ht="26" x14ac:dyDescent="0.3">
      <c r="A14" s="101" t="s">
        <v>3246</v>
      </c>
      <c r="B14" s="104">
        <f>(B13/$B$3)</f>
        <v>0.69230769230769229</v>
      </c>
      <c r="C14" s="104">
        <f t="shared" ref="C14:D14" si="1">(C13/$B$3)</f>
        <v>0</v>
      </c>
      <c r="D14" s="104">
        <f t="shared" si="1"/>
        <v>0.30769230769230771</v>
      </c>
      <c r="E14" s="102">
        <f>E13/$B$3</f>
        <v>1</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COUNTIF('MINGALA_Cleaned Data'!Y:Y,"non_maintenance")</f>
        <v>1</v>
      </c>
      <c r="E18" s="24">
        <f>COUNTIF('MINGALA_Cleaned Data'!Y:Y,"non_rehab")</f>
        <v>2</v>
      </c>
      <c r="F18" s="24">
        <f>COUNTIF('MINGALA_Cleaned Data'!Y:Y,"non_destruction")</f>
        <v>1</v>
      </c>
      <c r="G18" s="111">
        <f>SUM(D18:F18)</f>
        <v>4</v>
      </c>
      <c r="H18" s="10"/>
      <c r="I18" s="10"/>
      <c r="J18" s="10"/>
      <c r="K18" s="10"/>
      <c r="L18" s="10"/>
      <c r="M18" s="10"/>
      <c r="N18" s="10"/>
      <c r="O18" s="10"/>
      <c r="P18" s="10"/>
      <c r="Q18" s="10"/>
      <c r="R18" s="10"/>
    </row>
    <row r="19" spans="1:26" s="106" customFormat="1" ht="37.5" x14ac:dyDescent="0.3">
      <c r="A19" s="105"/>
      <c r="B19" s="105"/>
      <c r="C19" s="101" t="s">
        <v>3247</v>
      </c>
      <c r="D19" s="104">
        <f>D18/$D$13</f>
        <v>0.25</v>
      </c>
      <c r="E19" s="104">
        <f>E18/$D$13</f>
        <v>0.5</v>
      </c>
      <c r="F19" s="104">
        <f>F18/$D$13</f>
        <v>0.25</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COUNTIF('MINGALA_Cleaned Data'!AA:AA,"moins_six_mois")</f>
        <v>0</v>
      </c>
      <c r="E23" s="24">
        <f>COUNTIF('MINGALA_Cleaned Data'!AA:AA,"six_mois_un_an")</f>
        <v>1</v>
      </c>
      <c r="F23" s="24">
        <f>COUNTIF('MINGALA_Cleaned Data'!AA:AA,"un_an_trois_ans")</f>
        <v>0</v>
      </c>
      <c r="G23" s="24">
        <f>COUNTIF('MINGALA_Cleaned Data'!AA:AA,"plus_trois_ans")</f>
        <v>3</v>
      </c>
      <c r="H23" s="24">
        <f>COUNTIF('MINGALA_Cleaned Data'!AA:AA,"nsp")</f>
        <v>0</v>
      </c>
      <c r="I23" s="111">
        <f>SUM(D23:H23)</f>
        <v>4</v>
      </c>
      <c r="J23" s="10"/>
      <c r="K23" s="10"/>
      <c r="L23" s="10"/>
      <c r="M23" s="10"/>
      <c r="N23" s="10"/>
      <c r="O23" s="10"/>
      <c r="P23" s="10"/>
      <c r="Q23" s="10"/>
      <c r="R23" s="10"/>
    </row>
    <row r="24" spans="1:26" s="106" customFormat="1" ht="36.5" customHeight="1" x14ac:dyDescent="0.3">
      <c r="A24" s="105"/>
      <c r="B24" s="105"/>
      <c r="C24" s="101" t="s">
        <v>3247</v>
      </c>
      <c r="D24" s="104">
        <f>D23/$D$13</f>
        <v>0</v>
      </c>
      <c r="E24" s="104">
        <f>E23/$D$13</f>
        <v>0.25</v>
      </c>
      <c r="F24" s="104">
        <f>F23/$D$13</f>
        <v>0</v>
      </c>
      <c r="G24" s="104">
        <f t="shared" ref="G24:H24" si="2">G23/$D$13</f>
        <v>0.75</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COUNTIF('MINGALA_Cleaned Data'!AC:AC,"1")</f>
        <v>0</v>
      </c>
      <c r="E28" s="24">
        <f>COUNTIF('MINGALA_Cleaned Data'!AD:AD,"1")</f>
        <v>0</v>
      </c>
      <c r="F28" s="24">
        <f>COUNTIF('MINGALA_Cleaned Data'!AF:AF,"1")</f>
        <v>0</v>
      </c>
      <c r="G28" s="24">
        <f>COUNTIF('MINGALA_Cleaned Data'!AH:AH,"1")</f>
        <v>0</v>
      </c>
      <c r="H28" s="24">
        <f>COUNTIF('MINGALA_Cleaned Data'!AI:AI,"1")</f>
        <v>0</v>
      </c>
      <c r="I28" s="24">
        <f>COUNTIF('MINGALA_Cleaned Data'!AK:AK,"1")</f>
        <v>0</v>
      </c>
      <c r="J28" s="74" t="s">
        <v>2955</v>
      </c>
      <c r="K28" s="10"/>
      <c r="L28" s="10"/>
      <c r="M28" s="10"/>
      <c r="N28" s="10"/>
      <c r="O28" s="10"/>
      <c r="P28" s="10"/>
      <c r="Q28" s="10"/>
      <c r="R28" s="10"/>
      <c r="X28" s="1"/>
      <c r="Y28" s="1"/>
      <c r="Z28" s="1"/>
    </row>
    <row r="29" spans="1:26" s="105" customFormat="1" ht="37.5" x14ac:dyDescent="0.3">
      <c r="A29" s="107"/>
      <c r="B29" s="108"/>
      <c r="C29" s="101" t="s">
        <v>3248</v>
      </c>
      <c r="D29" s="104" t="e">
        <f>D28/$C$13</f>
        <v>#DIV/0!</v>
      </c>
      <c r="E29" s="104" t="e">
        <f t="shared" ref="E29:I29" si="3">E28/$C$13</f>
        <v>#DIV/0!</v>
      </c>
      <c r="F29" s="104" t="e">
        <f t="shared" si="3"/>
        <v>#DIV/0!</v>
      </c>
      <c r="G29" s="104" t="e">
        <f t="shared" si="3"/>
        <v>#DIV/0!</v>
      </c>
      <c r="H29" s="104" t="e">
        <f t="shared" si="3"/>
        <v>#DIV/0!</v>
      </c>
      <c r="I29" s="104" t="e">
        <f t="shared" si="3"/>
        <v>#DIV/0!</v>
      </c>
      <c r="J29" s="10"/>
    </row>
    <row r="30" spans="1:26" s="10" customFormat="1" x14ac:dyDescent="0.3">
      <c r="A30" s="14"/>
      <c r="B30" s="15"/>
      <c r="C30" s="97"/>
      <c r="D30" s="15"/>
      <c r="E30" s="15"/>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COUNTIF('MINGALA_Cleaned Data'!AM:AM,"moins_six_mois")</f>
        <v>0</v>
      </c>
      <c r="E33" s="24">
        <f>COUNTIF('MINGALA_Cleaned Data'!AM:AM,"six_mois_un_an")</f>
        <v>0</v>
      </c>
      <c r="F33" s="24">
        <f>COUNTIF('MINGALA_Cleaned Data'!AM:AM,"un_an_trois_ans")</f>
        <v>0</v>
      </c>
      <c r="G33" s="24">
        <f>COUNTIF('MINGALA_Cleaned Data'!AM:AM,"plus_trois_ans")</f>
        <v>0</v>
      </c>
      <c r="H33" s="24">
        <f>COUNTIF('MINGALA_Cleaned Data'!AM:AM,"nsp")</f>
        <v>0</v>
      </c>
      <c r="I33" s="111">
        <f>SUM(D33:H33)</f>
        <v>0</v>
      </c>
      <c r="J33" s="10"/>
      <c r="K33" s="10"/>
      <c r="L33" s="10"/>
      <c r="M33" s="10"/>
      <c r="N33" s="10"/>
      <c r="O33" s="10"/>
      <c r="P33" s="10"/>
      <c r="Q33" s="10"/>
      <c r="R33" s="10"/>
    </row>
    <row r="34" spans="1:26" s="106" customFormat="1" ht="41.5" customHeight="1" x14ac:dyDescent="0.3">
      <c r="A34" s="105"/>
      <c r="B34" s="105"/>
      <c r="C34" s="101" t="s">
        <v>3248</v>
      </c>
      <c r="D34" s="104" t="e">
        <f>D33/$C$13</f>
        <v>#DIV/0!</v>
      </c>
      <c r="E34" s="104" t="e">
        <f t="shared" ref="E34:H34" si="4">E33/$C$13</f>
        <v>#DIV/0!</v>
      </c>
      <c r="F34" s="104" t="e">
        <f t="shared" si="4"/>
        <v>#DIV/0!</v>
      </c>
      <c r="G34" s="104" t="e">
        <f t="shared" si="4"/>
        <v>#DIV/0!</v>
      </c>
      <c r="H34" s="104" t="e">
        <f t="shared" si="4"/>
        <v>#DIV/0!</v>
      </c>
      <c r="I34" s="100" t="e">
        <f>SUM(D34:H34)</f>
        <v>#DIV/0!</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COUNTIF('MINGALA_Cleaned Data'!BP:BP,"1")</f>
        <v>0</v>
      </c>
      <c r="C38" s="24">
        <f>COUNTIF('MINGALA_Cleaned Data'!BQ:BQ,"1")</f>
        <v>0</v>
      </c>
      <c r="D38" s="24">
        <f>COUNTIF('MINGALA_Cleaned Data'!BR:BR,"1")</f>
        <v>8</v>
      </c>
      <c r="E38" s="24">
        <f>COUNTIF('MINGALA_Cleaned Data'!BY:BY,"1")</f>
        <v>1</v>
      </c>
      <c r="F38" s="24">
        <f>COUNTIF('MINGALA_Cleaned Data'!BZ:BZ,"1")</f>
        <v>0</v>
      </c>
      <c r="G38" s="24">
        <f>COUNTIF('MINGALA_Cleaned Data'!BS:BS,"1")</f>
        <v>0</v>
      </c>
      <c r="H38" s="24">
        <f>COUNTIF('MINGALA_Cleaned Data'!BT:BT,"1")</f>
        <v>1</v>
      </c>
      <c r="I38" s="24">
        <f>COUNTIF('MINGALA_Cleaned Data'!BU:BU,"1")</f>
        <v>4</v>
      </c>
      <c r="J38" s="24">
        <f>COUNTIF('MINGALA_Cleaned Data'!CA:CA,"1")</f>
        <v>1</v>
      </c>
      <c r="K38" s="24">
        <f>COUNTIF('MINGALA_Cleaned Data'!BW:BW,"1")</f>
        <v>0</v>
      </c>
      <c r="L38" s="24">
        <f>COUNTIF('MINGALA_Cleaned Data'!BX:BX,"1")</f>
        <v>0</v>
      </c>
      <c r="M38" s="10"/>
      <c r="N38" s="10"/>
      <c r="O38" s="10"/>
      <c r="P38" s="10"/>
      <c r="Q38" s="10"/>
      <c r="R38" s="10"/>
    </row>
    <row r="39" spans="1:26" s="106" customFormat="1" ht="26" x14ac:dyDescent="0.3">
      <c r="A39" s="101" t="s">
        <v>3246</v>
      </c>
      <c r="B39" s="104">
        <f>B38/$B$3</f>
        <v>0</v>
      </c>
      <c r="C39" s="104">
        <f t="shared" ref="C39:L39" si="5">C38/$B$3</f>
        <v>0</v>
      </c>
      <c r="D39" s="104">
        <f t="shared" si="5"/>
        <v>0.61538461538461542</v>
      </c>
      <c r="E39" s="104">
        <f t="shared" si="5"/>
        <v>7.6923076923076927E-2</v>
      </c>
      <c r="F39" s="104">
        <f t="shared" si="5"/>
        <v>0</v>
      </c>
      <c r="G39" s="104">
        <f t="shared" si="5"/>
        <v>0</v>
      </c>
      <c r="H39" s="104">
        <f t="shared" si="5"/>
        <v>7.6923076923076927E-2</v>
      </c>
      <c r="I39" s="104">
        <f t="shared" si="5"/>
        <v>0.30769230769230771</v>
      </c>
      <c r="J39" s="104">
        <f t="shared" si="5"/>
        <v>7.6923076923076927E-2</v>
      </c>
      <c r="K39" s="104">
        <f t="shared" si="5"/>
        <v>0</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COUNTIF('MINGALA_Cleaned Data'!AN:AN, "oui_potable")</f>
        <v>4</v>
      </c>
      <c r="C45" s="3">
        <f>COUNTIF('MINGALA_Cleaned Data'!AN:AN, "oui_pas_potable")</f>
        <v>9</v>
      </c>
      <c r="D45" s="3">
        <f>COUNTIF('MINGALA_Cleaned Data'!AN:AN, "oui_traitee")</f>
        <v>0</v>
      </c>
      <c r="E45" s="3">
        <f>COUNTIF('MINGALA_Cleaned Data'!AN:AN, "non")</f>
        <v>0</v>
      </c>
      <c r="F45" s="111">
        <f>SUM(B45:E45)</f>
        <v>13</v>
      </c>
      <c r="G45" s="10"/>
      <c r="H45" s="10"/>
      <c r="I45" s="10"/>
      <c r="J45" s="10"/>
      <c r="K45" s="10"/>
      <c r="L45" s="10"/>
      <c r="M45" s="10"/>
      <c r="N45" s="10"/>
      <c r="O45" s="10"/>
      <c r="P45" s="10"/>
      <c r="Q45" s="10"/>
      <c r="R45" s="10"/>
    </row>
    <row r="46" spans="1:26" s="106" customFormat="1" ht="37.5" x14ac:dyDescent="0.3">
      <c r="A46" s="101" t="s">
        <v>1883</v>
      </c>
      <c r="B46" s="104">
        <f>(B45/$E$13)</f>
        <v>0.30769230769230771</v>
      </c>
      <c r="C46" s="104">
        <f t="shared" ref="C46:E46" si="6">(C45/$E$13)</f>
        <v>0.69230769230769229</v>
      </c>
      <c r="D46" s="104">
        <f t="shared" si="6"/>
        <v>0</v>
      </c>
      <c r="E46" s="104">
        <f t="shared" si="6"/>
        <v>0</v>
      </c>
      <c r="F46" s="100">
        <f>SUM(B46:E46)</f>
        <v>1</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f>AVERAGE('MINGALA_Cleaned Data'!AO:AO)</f>
        <v>131.76923076923077</v>
      </c>
      <c r="B49" s="10"/>
      <c r="C49" s="74"/>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COUNTIF('MINGALA_Cleaned Data'!AP:AP,"maisons_alentours")</f>
        <v>0</v>
      </c>
      <c r="C53" s="3">
        <f>COUNTIF('MINGALA_Cleaned Data'!AP:AP,"quartier")</f>
        <v>1</v>
      </c>
      <c r="D53" s="3">
        <f>COUNTIF('MINGALA_Cleaned Data'!AP:AP,"plusieurs_quartiers")</f>
        <v>3</v>
      </c>
      <c r="E53" s="3">
        <f>COUNTIF('MINGALA_Cleaned Data'!AP:AP,"localite")</f>
        <v>1</v>
      </c>
      <c r="F53" s="3">
        <f>COUNTIF('MINGALA_Cleaned Data'!AP:AP,"localite_environs")</f>
        <v>8</v>
      </c>
      <c r="G53" s="3">
        <f>COUNTIF('MINGALA_Cleaned Data'!AP:AP,"nsp")</f>
        <v>0</v>
      </c>
      <c r="H53" s="3">
        <f>COUNTIF('MINGALA_Cleaned Data'!AP:AP,"autre")</f>
        <v>0</v>
      </c>
      <c r="I53" s="111">
        <f>SUM(B53:H53)</f>
        <v>13</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0</v>
      </c>
      <c r="C54" s="104">
        <f t="shared" ref="C54:H54" si="7">(C53/$E$13)</f>
        <v>7.6923076923076927E-2</v>
      </c>
      <c r="D54" s="104">
        <f t="shared" si="7"/>
        <v>0.23076923076923078</v>
      </c>
      <c r="E54" s="104">
        <f t="shared" si="7"/>
        <v>7.6923076923076927E-2</v>
      </c>
      <c r="F54" s="104">
        <f t="shared" si="7"/>
        <v>0.61538461538461542</v>
      </c>
      <c r="G54" s="104">
        <f t="shared" si="7"/>
        <v>0</v>
      </c>
      <c r="H54" s="104">
        <f t="shared" si="7"/>
        <v>0</v>
      </c>
      <c r="I54" s="100">
        <f>SUM(B54:H54)</f>
        <v>1</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COUNTIF('MINGALA_Cleaned Data'!AR:AR,"moins_trente_min")</f>
        <v>3</v>
      </c>
      <c r="C58" s="3">
        <f>COUNTIF('MINGALA_Cleaned Data'!AR:AR,"une_heure")</f>
        <v>8</v>
      </c>
      <c r="D58" s="3">
        <f>COUNTIF('MINGALA_Cleaned Data'!AR:AR,"une_deux_heures")</f>
        <v>2</v>
      </c>
      <c r="E58" s="3">
        <f>COUNTIF('MINGALA_Cleaned Data'!AR:AR,"deux_trois_heures")</f>
        <v>0</v>
      </c>
      <c r="F58" s="3">
        <f>COUNTIF('MINGALA_Cleaned Data'!AR:AR,"plus_trois_heures")</f>
        <v>0</v>
      </c>
      <c r="G58" s="111">
        <f>SUM(B58:F58)</f>
        <v>13</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0.23076923076923078</v>
      </c>
      <c r="C59" s="94">
        <f t="shared" ref="C59:F59" si="8">(C58/$E$13)</f>
        <v>0.61538461538461542</v>
      </c>
      <c r="D59" s="94">
        <f t="shared" si="8"/>
        <v>0.15384615384615385</v>
      </c>
      <c r="E59" s="94">
        <f t="shared" si="8"/>
        <v>0</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COUNTIF('MINGALA_Cleaned Data'!AS:AS,"aucun")</f>
        <v>4</v>
      </c>
      <c r="C63" s="3">
        <f>COUNTIF('MINGALA_Cleaned Data'!AS:AS,"moins_trente_minutes")</f>
        <v>6</v>
      </c>
      <c r="D63" s="3">
        <f>COUNTIF('MINGALA_Cleaned Data'!AS:AS,"moins_une_heure")</f>
        <v>2</v>
      </c>
      <c r="E63" s="3">
        <f>COUNTIF('MINGALA_Cleaned Data'!AS:AS,"plus_une_heure")</f>
        <v>1</v>
      </c>
      <c r="F63" s="3">
        <f>COUNTIF('MINGALA_Cleaned Data'!AS:AS,"plus_deux_heures")</f>
        <v>0</v>
      </c>
      <c r="G63" s="3">
        <f>COUNTIF('MINGALA_Cleaned Data'!AS:AS,"plus_trois_heure")</f>
        <v>0</v>
      </c>
      <c r="H63" s="3">
        <f>COUNTIF('MINGALA_Cleaned Data'!AS:AS,"nsp")</f>
        <v>0</v>
      </c>
      <c r="I63" s="111">
        <f>SUM(B63:H63)</f>
        <v>13</v>
      </c>
    </row>
    <row r="64" spans="1:45" s="56" customFormat="1" ht="37" x14ac:dyDescent="0.3">
      <c r="A64" s="54" t="s">
        <v>1883</v>
      </c>
      <c r="B64" s="94">
        <f>(B63/$E$13)</f>
        <v>0.30769230769230771</v>
      </c>
      <c r="C64" s="94">
        <f t="shared" ref="C64:H64" si="9">(C63/$E$13)</f>
        <v>0.46153846153846156</v>
      </c>
      <c r="D64" s="94">
        <f t="shared" si="9"/>
        <v>0.15384615384615385</v>
      </c>
      <c r="E64" s="94">
        <f t="shared" si="9"/>
        <v>7.6923076923076927E-2</v>
      </c>
      <c r="F64" s="94">
        <f t="shared" si="9"/>
        <v>0</v>
      </c>
      <c r="G64" s="94">
        <f t="shared" si="9"/>
        <v>0</v>
      </c>
      <c r="H64" s="94">
        <f t="shared" si="9"/>
        <v>0</v>
      </c>
      <c r="I64" s="100">
        <f>SUM(B64:H64)</f>
        <v>1</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COUNTIF('MINGALA_Cleaned Data'!AT:AT,"OUI")</f>
        <v>8</v>
      </c>
      <c r="C68" s="3">
        <f>COUNTIF('MINGALA_Cleaned Data'!AT:AT,"non")</f>
        <v>5</v>
      </c>
      <c r="D68" s="111">
        <f>SUM(B68:C68)</f>
        <v>13</v>
      </c>
      <c r="E68" s="10"/>
      <c r="F68" s="10"/>
      <c r="G68" s="10"/>
      <c r="H68" s="10"/>
      <c r="I68" s="10"/>
      <c r="J68" s="10"/>
      <c r="K68" s="10"/>
      <c r="L68" s="10"/>
      <c r="M68" s="10"/>
      <c r="N68" s="10"/>
      <c r="O68" s="10"/>
      <c r="P68" s="10"/>
      <c r="Q68" s="10"/>
      <c r="R68" s="10"/>
    </row>
    <row r="69" spans="1:26" s="56" customFormat="1" ht="37" x14ac:dyDescent="0.3">
      <c r="A69" s="54" t="s">
        <v>1883</v>
      </c>
      <c r="B69" s="94">
        <f>(B68/$E$13)</f>
        <v>0.61538461538461542</v>
      </c>
      <c r="C69" s="94">
        <f>(C68/$E$13)</f>
        <v>0.38461538461538464</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COUNTIF('MINGALA_Cleaned Data'!AU:AU,"bcp_diminue")</f>
        <v>2</v>
      </c>
      <c r="D73" s="3">
        <f>COUNTIF('MINGALA_Cleaned Data'!AU:AU,"peu_diminue")</f>
        <v>1</v>
      </c>
      <c r="E73" s="3">
        <f>COUNTIF('MINGALA_Cleaned Data'!AU:AU,"bcp_augmente")</f>
        <v>4</v>
      </c>
      <c r="F73" s="3">
        <f>COUNTIF('MINGALA_Cleaned Data'!AU:AU,"PEU_augmente")</f>
        <v>1</v>
      </c>
      <c r="G73" s="111">
        <f>SUM(C73:F73)</f>
        <v>8</v>
      </c>
      <c r="H73" s="10"/>
      <c r="I73" s="10"/>
      <c r="J73" s="10"/>
      <c r="K73" s="10"/>
      <c r="L73" s="10"/>
      <c r="M73" s="10"/>
      <c r="N73" s="10"/>
      <c r="O73" s="10"/>
      <c r="P73" s="10"/>
      <c r="Q73" s="10"/>
      <c r="R73" s="10"/>
    </row>
    <row r="74" spans="1:26" ht="60.5" x14ac:dyDescent="0.3">
      <c r="A74" s="10"/>
      <c r="B74" s="53" t="s">
        <v>3250</v>
      </c>
      <c r="C74" s="7">
        <f>(C73/$B$68)</f>
        <v>0.25</v>
      </c>
      <c r="D74" s="7">
        <f>(D73/$B$68)</f>
        <v>0.125</v>
      </c>
      <c r="E74" s="7">
        <f>(E73/$B$68)</f>
        <v>0.5</v>
      </c>
      <c r="F74" s="7">
        <f>(F73/$B$68)</f>
        <v>0.125</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1905</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COUNTIF('MINGALA_Cleaned Data'!AV:AV,"1")</f>
        <v>0</v>
      </c>
      <c r="D78" s="3">
        <f>COUNTIF('MINGALA_Cleaned Data'!AW:AW,"1")</f>
        <v>4</v>
      </c>
      <c r="E78" s="3">
        <f>COUNTIF('MINGALA_Cleaned Data'!AX:AX,"1")</f>
        <v>0</v>
      </c>
      <c r="F78" s="3">
        <f>COUNTIF('MINGALA_Cleaned Data'!AY:AY,"1")</f>
        <v>1</v>
      </c>
      <c r="G78" s="3">
        <f>COUNTIF('MINGALA_Cleaned Data'!AZ:AZ,"1")</f>
        <v>0</v>
      </c>
      <c r="H78" s="3">
        <f>COUNTIF('MINGALA_Cleaned Data'!BA:BA,"1")</f>
        <v>0</v>
      </c>
      <c r="I78" s="3">
        <f>COUNTIF('MINGALA_Cleaned Data'!BB:BB,"1")</f>
        <v>0</v>
      </c>
      <c r="J78" s="3">
        <f>COUNTIF('MINGALA_Cleaned Data'!BC:BC,"1")</f>
        <v>0</v>
      </c>
      <c r="K78" s="20"/>
      <c r="L78" s="10"/>
      <c r="M78" s="10"/>
      <c r="N78" s="10"/>
      <c r="O78" s="10"/>
      <c r="P78" s="10"/>
      <c r="Q78" s="10"/>
      <c r="R78" s="10"/>
    </row>
    <row r="79" spans="1:26" ht="60.5" x14ac:dyDescent="0.3">
      <c r="A79" s="10"/>
      <c r="B79" s="53" t="s">
        <v>3251</v>
      </c>
      <c r="C79" s="7">
        <f t="shared" ref="C79:J79" si="10">C78/$E$73</f>
        <v>0</v>
      </c>
      <c r="D79" s="7">
        <f t="shared" si="10"/>
        <v>1</v>
      </c>
      <c r="E79" s="7">
        <f t="shared" si="10"/>
        <v>0</v>
      </c>
      <c r="F79" s="7">
        <f t="shared" si="10"/>
        <v>0.25</v>
      </c>
      <c r="G79" s="7">
        <f t="shared" si="10"/>
        <v>0</v>
      </c>
      <c r="H79" s="7">
        <f t="shared" si="10"/>
        <v>0</v>
      </c>
      <c r="I79" s="7">
        <f t="shared" si="10"/>
        <v>0</v>
      </c>
      <c r="J79" s="7">
        <f t="shared" si="10"/>
        <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COUNTIF('MINGALA_Cleaned Data'!BF:BF,"1")</f>
        <v>0</v>
      </c>
      <c r="D83" s="3">
        <f>COUNTIF('MINGALA_Cleaned Data'!BG:BG,"1")</f>
        <v>3</v>
      </c>
      <c r="E83" s="3">
        <f>COUNTIF('MINGALA_Cleaned Data'!BH:BH,"1")</f>
        <v>0</v>
      </c>
      <c r="F83" s="3">
        <f>COUNTIF('MINGALA_Cleaned Data'!BI:BI,"1")</f>
        <v>0</v>
      </c>
      <c r="G83" s="3">
        <f>COUNTIF('MINGALA_Cleaned Data'!BJ:BJ,"1")</f>
        <v>0</v>
      </c>
      <c r="H83" s="3">
        <f>COUNTIF('MINGALA_Cleaned Data'!BK:BK,"1")</f>
        <v>0</v>
      </c>
      <c r="I83" s="3">
        <f>COUNTIF('MINGALA_Cleaned Data'!BL:BL,"1")</f>
        <v>0</v>
      </c>
      <c r="J83" s="10"/>
      <c r="K83" s="10"/>
      <c r="L83" s="10"/>
      <c r="M83" s="10"/>
      <c r="N83" s="10"/>
      <c r="O83" s="10"/>
      <c r="P83" s="10"/>
      <c r="Q83" s="10"/>
      <c r="R83" s="10"/>
    </row>
    <row r="84" spans="1:26" ht="60.5" x14ac:dyDescent="0.3">
      <c r="A84" s="10"/>
      <c r="B84" s="53" t="s">
        <v>3252</v>
      </c>
      <c r="C84" s="7">
        <f t="shared" ref="C84:I84" si="11">C83/$D$73</f>
        <v>0</v>
      </c>
      <c r="D84" s="7">
        <f t="shared" si="11"/>
        <v>3</v>
      </c>
      <c r="E84" s="7">
        <f t="shared" si="11"/>
        <v>0</v>
      </c>
      <c r="F84" s="7">
        <f t="shared" si="11"/>
        <v>0</v>
      </c>
      <c r="G84" s="7">
        <f t="shared" si="11"/>
        <v>0</v>
      </c>
      <c r="H84" s="7">
        <f t="shared" si="11"/>
        <v>0</v>
      </c>
      <c r="I84" s="7">
        <f t="shared" si="11"/>
        <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COUNTIF('MINGALA_Cleaned Data'!W:W,"OUI")</f>
        <v>7</v>
      </c>
      <c r="C90" s="3">
        <f>COUNTIF('MINGALA_Cleaned Data'!W:W,"non")</f>
        <v>6</v>
      </c>
      <c r="D90" s="3">
        <f>COUNTIF('MINGALA_Cleaned Data'!W:W,"nsp")</f>
        <v>0</v>
      </c>
      <c r="E90" s="111">
        <f>SUM(B90:D90)</f>
        <v>13</v>
      </c>
      <c r="F90" s="10"/>
      <c r="G90" s="10"/>
      <c r="H90" s="10"/>
      <c r="I90" s="10"/>
      <c r="J90" s="10"/>
      <c r="K90" s="10"/>
      <c r="L90" s="10"/>
      <c r="M90" s="10"/>
      <c r="N90" s="10"/>
      <c r="O90" s="10"/>
      <c r="P90" s="10"/>
      <c r="Q90" s="10"/>
      <c r="R90" s="10"/>
    </row>
    <row r="91" spans="1:26" ht="26" x14ac:dyDescent="0.3">
      <c r="A91" s="53" t="s">
        <v>3246</v>
      </c>
      <c r="B91" s="7">
        <f>(B90/$B$3)</f>
        <v>0.53846153846153844</v>
      </c>
      <c r="C91" s="7">
        <f>(C90/$B$3)</f>
        <v>0.46153846153846156</v>
      </c>
      <c r="D91" s="7">
        <f>(D90/$B$3)</f>
        <v>0</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COUNTIF('MINGALA_Cleaned Data'!CC:CC,"oui")</f>
        <v>0</v>
      </c>
      <c r="C95" s="3">
        <f>COUNTIF('MINGALA_Cleaned Data'!CC:CC,"non")</f>
        <v>13</v>
      </c>
      <c r="D95" s="111">
        <f>SUM(A95:C95)</f>
        <v>13</v>
      </c>
      <c r="E95" s="10"/>
      <c r="F95" s="10"/>
      <c r="G95" s="10"/>
      <c r="H95" s="10"/>
      <c r="I95" s="10"/>
      <c r="J95" s="10"/>
      <c r="K95" s="10"/>
      <c r="L95" s="10"/>
      <c r="M95" s="10"/>
      <c r="N95" s="10"/>
      <c r="O95" s="10"/>
      <c r="P95" s="10"/>
      <c r="Q95" s="10"/>
      <c r="R95" s="10"/>
    </row>
    <row r="96" spans="1:26" ht="37" x14ac:dyDescent="0.3">
      <c r="A96" s="54" t="s">
        <v>1883</v>
      </c>
      <c r="B96" s="7">
        <f>(B95/$E$13)</f>
        <v>0</v>
      </c>
      <c r="C96" s="7">
        <f>(C95/$E$13)</f>
        <v>1</v>
      </c>
      <c r="D96" s="100">
        <f>SUM(A96:C96)</f>
        <v>1</v>
      </c>
      <c r="E96" s="10"/>
      <c r="F96" s="10"/>
      <c r="G96" s="10"/>
      <c r="H96" s="10"/>
      <c r="I96" s="10"/>
      <c r="J96" s="10"/>
      <c r="K96" s="10"/>
      <c r="L96" s="10"/>
      <c r="M96" s="10"/>
      <c r="N96" s="10"/>
      <c r="O96" s="10"/>
      <c r="P96" s="10"/>
      <c r="Q96" s="10"/>
      <c r="R96" s="10"/>
    </row>
    <row r="97" spans="2:11" s="10" customFormat="1" x14ac:dyDescent="0.3"/>
    <row r="98" spans="2:11" s="10" customFormat="1" x14ac:dyDescent="0.3">
      <c r="B98" s="18" t="s">
        <v>1242</v>
      </c>
    </row>
    <row r="99" spans="2:11" s="10" customFormat="1" x14ac:dyDescent="0.3">
      <c r="B99" s="21" t="e">
        <f>AVERAGE('MINGALA_Cleaned Data'!CF:CF)</f>
        <v>#DIV/0!</v>
      </c>
      <c r="C99" s="22" t="s">
        <v>1243</v>
      </c>
      <c r="D99" s="21" t="s">
        <v>1897</v>
      </c>
      <c r="F99" s="74" t="s">
        <v>2761</v>
      </c>
    </row>
    <row r="100" spans="2:11" s="10" customFormat="1" x14ac:dyDescent="0.3"/>
    <row r="101" spans="2:11" s="10" customFormat="1" x14ac:dyDescent="0.3">
      <c r="B101" s="18" t="s">
        <v>1244</v>
      </c>
    </row>
    <row r="102" spans="2:11" s="10" customFormat="1" x14ac:dyDescent="0.3">
      <c r="B102" s="3"/>
      <c r="C102" s="11" t="s">
        <v>1210</v>
      </c>
      <c r="D102" s="11" t="s">
        <v>1209</v>
      </c>
      <c r="E102" s="11" t="s">
        <v>3259</v>
      </c>
      <c r="F102" s="110" t="s">
        <v>1206</v>
      </c>
    </row>
    <row r="103" spans="2:11" s="10" customFormat="1" x14ac:dyDescent="0.3">
      <c r="B103" s="3" t="s">
        <v>1207</v>
      </c>
      <c r="C103" s="3">
        <f>COUNTIF('MINGALA_Cleaned Data'!CG:CG,"OUI")</f>
        <v>0</v>
      </c>
      <c r="D103" s="3">
        <f>COUNTIF('MINGALA_Cleaned Data'!CG:CG,"non")</f>
        <v>0</v>
      </c>
      <c r="E103" s="3">
        <f>COUNTIF('MINGALA_Cleaned Data'!CG:CG,"nsp")</f>
        <v>0</v>
      </c>
      <c r="F103" s="111">
        <f>SUM(C103:D103)</f>
        <v>0</v>
      </c>
    </row>
    <row r="104" spans="2:11" s="10" customFormat="1" ht="37.5" x14ac:dyDescent="0.3">
      <c r="B104" s="53" t="s">
        <v>3253</v>
      </c>
      <c r="C104" s="7" t="e">
        <f>(C103/$B$95)</f>
        <v>#DIV/0!</v>
      </c>
      <c r="D104" s="7" t="e">
        <f>(D103/$B$95)</f>
        <v>#DIV/0!</v>
      </c>
      <c r="E104" s="7" t="e">
        <f>(E103/$B$95)</f>
        <v>#DIV/0!</v>
      </c>
      <c r="F104" s="100" t="e">
        <f>SUM(C104:E104)</f>
        <v>#DIV/0!</v>
      </c>
      <c r="K104" s="1"/>
    </row>
    <row r="105" spans="2:11" s="10" customFormat="1" x14ac:dyDescent="0.3">
      <c r="B105" s="14"/>
      <c r="C105" s="15"/>
      <c r="D105" s="15"/>
      <c r="K105" s="1"/>
    </row>
    <row r="106" spans="2:11" s="10" customFormat="1" x14ac:dyDescent="0.3">
      <c r="B106" s="18" t="s">
        <v>1224</v>
      </c>
    </row>
    <row r="107" spans="2:11" s="10" customFormat="1" ht="28" x14ac:dyDescent="0.3">
      <c r="B107" s="3"/>
      <c r="C107" s="12" t="s">
        <v>1226</v>
      </c>
      <c r="D107" s="12" t="s">
        <v>1405</v>
      </c>
      <c r="E107" s="12" t="s">
        <v>1225</v>
      </c>
      <c r="F107" s="12" t="s">
        <v>1404</v>
      </c>
      <c r="G107" s="110" t="s">
        <v>1206</v>
      </c>
    </row>
    <row r="108" spans="2:11" s="10" customFormat="1" x14ac:dyDescent="0.3">
      <c r="B108" s="3" t="s">
        <v>1207</v>
      </c>
      <c r="C108" s="3">
        <f>COUNTIF('MINGALA_Cleaned Data'!CH:CH,"bcp_diminue")</f>
        <v>0</v>
      </c>
      <c r="D108" s="3">
        <f>COUNTIF('MINGALA_Cleaned Data'!CH:CH,"peu_diminue")</f>
        <v>0</v>
      </c>
      <c r="E108" s="3">
        <f>COUNTIF('MINGALA_Cleaned Data'!CH:CH,"bcp_augmente")</f>
        <v>0</v>
      </c>
      <c r="F108" s="3">
        <f>COUNTIF('MINGALA_Cleaned Data'!CH:CH,"PEU_augmente")</f>
        <v>0</v>
      </c>
      <c r="G108" s="111">
        <f>SUM(C108:F108)</f>
        <v>0</v>
      </c>
    </row>
    <row r="109" spans="2:11" s="10" customFormat="1" ht="60.5" x14ac:dyDescent="0.3">
      <c r="B109" s="53" t="s">
        <v>3254</v>
      </c>
      <c r="C109" s="7" t="e">
        <f>(C108/$C$103)</f>
        <v>#DIV/0!</v>
      </c>
      <c r="D109" s="7" t="e">
        <f>(D108/$C$103)</f>
        <v>#DIV/0!</v>
      </c>
      <c r="E109" s="7" t="e">
        <f>(E108/$C$103)</f>
        <v>#DIV/0!</v>
      </c>
      <c r="F109" s="7" t="e">
        <f>(F108/$C$103)</f>
        <v>#DIV/0!</v>
      </c>
      <c r="G109" s="100" t="e">
        <f>SUM(C109:F109)</f>
        <v>#DIV/0!</v>
      </c>
    </row>
    <row r="110" spans="2:11" s="10" customFormat="1" x14ac:dyDescent="0.3"/>
    <row r="111" spans="2:11" s="10" customFormat="1" x14ac:dyDescent="0.3">
      <c r="B111" s="1" t="s">
        <v>1245</v>
      </c>
      <c r="C111" s="1"/>
    </row>
    <row r="112" spans="2:11" s="10" customFormat="1" ht="42" x14ac:dyDescent="0.3">
      <c r="B112" s="11" t="s">
        <v>1246</v>
      </c>
      <c r="C112" s="11" t="s">
        <v>1247</v>
      </c>
      <c r="D112" s="11" t="s">
        <v>1248</v>
      </c>
      <c r="E112" s="11" t="s">
        <v>1249</v>
      </c>
      <c r="F112" s="11" t="s">
        <v>3259</v>
      </c>
      <c r="G112" s="11" t="s">
        <v>1205</v>
      </c>
      <c r="H112" s="110" t="s">
        <v>1206</v>
      </c>
    </row>
    <row r="113" spans="1:26" x14ac:dyDescent="0.3">
      <c r="A113" s="10"/>
      <c r="B113" s="3">
        <f>COUNTIF('MINGALA_Cleaned Data'!CJ:CJ,"1")</f>
        <v>0</v>
      </c>
      <c r="C113" s="3">
        <f>COUNTIF('MINGALA_Cleaned Data'!CK:CK,"1")</f>
        <v>0</v>
      </c>
      <c r="D113" s="3">
        <f>COUNTIF('MINGALA_Cleaned Data'!CL:CL,"1")</f>
        <v>0</v>
      </c>
      <c r="E113" s="3">
        <f>COUNTIF('MINGALA_Cleaned Data'!CM:CM,"1")</f>
        <v>0</v>
      </c>
      <c r="F113" s="3">
        <f>COUNTIF('MINGALA_Cleaned Data'!CN:CN,"1")</f>
        <v>0</v>
      </c>
      <c r="G113" s="3">
        <f>COUNTIF('MINGALA_Cleaned Data'!CO:CO,"1")</f>
        <v>0</v>
      </c>
      <c r="H113" s="111">
        <f>SUM(B113:G113)</f>
        <v>0</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COUNTIF('MINGALA_Cleaned Data'!CZ:CZ,"1")</f>
        <v>0</v>
      </c>
      <c r="C117" s="3">
        <f>COUNTIF('MINGALA_Cleaned Data'!DA:DA,"1")</f>
        <v>0</v>
      </c>
      <c r="D117" s="3">
        <f>COUNTIF('MINGALA_Cleaned Data'!DB:DB,"1")</f>
        <v>0</v>
      </c>
      <c r="E117" s="3">
        <f>COUNTIF('MINGALA_Cleaned Data'!DC:DC,"1")</f>
        <v>0</v>
      </c>
      <c r="F117" s="3">
        <f>COUNTIF('MINGALA_Cleaned Data'!DD:DD,"1")</f>
        <v>0</v>
      </c>
      <c r="G117" s="3">
        <f>COUNTIF('MINGALA_Cleaned Data'!DE:DE,"1")</f>
        <v>0</v>
      </c>
      <c r="H117" s="3">
        <f>COUNTIF('MINGALA_Cleaned Data'!DF:DF,"1")</f>
        <v>0</v>
      </c>
      <c r="I117" s="3">
        <f>COUNTIF('MINGALA_Cleaned Data'!DG:DG,"1")</f>
        <v>0</v>
      </c>
      <c r="J117" s="111">
        <f>SUM(B117:I117)</f>
        <v>0</v>
      </c>
      <c r="K117" s="10"/>
      <c r="L117" s="10"/>
      <c r="M117" s="10"/>
      <c r="N117" s="10"/>
      <c r="O117" s="10"/>
      <c r="P117" s="10"/>
      <c r="Q117" s="10"/>
      <c r="R117" s="10"/>
    </row>
    <row r="118" spans="1:26" ht="37.5" x14ac:dyDescent="0.3">
      <c r="A118" s="53" t="s">
        <v>1921</v>
      </c>
      <c r="B118" s="7" t="e">
        <f>B117/$B$95</f>
        <v>#DIV/0!</v>
      </c>
      <c r="C118" s="7" t="e">
        <f t="shared" ref="C118:I118" si="12">C117/$B$95</f>
        <v>#DIV/0!</v>
      </c>
      <c r="D118" s="7" t="e">
        <f t="shared" si="12"/>
        <v>#DIV/0!</v>
      </c>
      <c r="E118" s="7" t="e">
        <f t="shared" si="12"/>
        <v>#DIV/0!</v>
      </c>
      <c r="F118" s="7" t="e">
        <f t="shared" si="12"/>
        <v>#DIV/0!</v>
      </c>
      <c r="G118" s="7" t="e">
        <f t="shared" si="12"/>
        <v>#DIV/0!</v>
      </c>
      <c r="H118" s="7" t="e">
        <f t="shared" si="12"/>
        <v>#DIV/0!</v>
      </c>
      <c r="I118" s="7" t="e">
        <f t="shared" si="12"/>
        <v>#DIV/0!</v>
      </c>
      <c r="J118" s="100" t="e">
        <f>SUM(B118:I118)</f>
        <v>#DIV/0!</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COUNTIF('MINGALA_Cleaned Data'!DI:DI,"OUI")</f>
        <v>0</v>
      </c>
      <c r="C122" s="3">
        <f>COUNTIF('MINGALA_Cleaned Data'!DI:DI,"non")</f>
        <v>0</v>
      </c>
      <c r="D122" s="3">
        <f>COUNTIF('MINGALA_Cleaned Data'!DI:DI,"nsp")</f>
        <v>0</v>
      </c>
      <c r="E122" s="111">
        <f>SUM(B122:D122)</f>
        <v>0</v>
      </c>
      <c r="F122" s="10"/>
      <c r="G122" s="10"/>
      <c r="H122" s="10"/>
      <c r="I122" s="10"/>
      <c r="J122" s="10"/>
      <c r="K122" s="10"/>
      <c r="L122" s="10"/>
      <c r="M122" s="10"/>
      <c r="N122" s="10"/>
      <c r="O122" s="10"/>
      <c r="P122" s="10"/>
      <c r="Q122" s="10"/>
      <c r="R122" s="10"/>
    </row>
    <row r="123" spans="1:26" ht="37.5" x14ac:dyDescent="0.3">
      <c r="A123" s="53" t="s">
        <v>1921</v>
      </c>
      <c r="B123" s="7" t="e">
        <f>(B122/$B$95)</f>
        <v>#DIV/0!</v>
      </c>
      <c r="C123" s="7" t="e">
        <f>(C122/$B$95)</f>
        <v>#DIV/0!</v>
      </c>
      <c r="D123" s="7" t="e">
        <f>(D122/$B$95)</f>
        <v>#DIV/0!</v>
      </c>
      <c r="E123" s="100" t="e">
        <f>SUM(B123:D123)</f>
        <v>#DIV/0!</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COUNTIF('MINGALA_Cleaned Data'!DR:DR,"1")</f>
        <v>0</v>
      </c>
      <c r="C127" s="3">
        <f>COUNTIF('MINGALA_Cleaned Data'!DS:DS,"1")</f>
        <v>2</v>
      </c>
      <c r="D127" s="3">
        <f>COUNTIF('MINGALA_Cleaned Data'!DT:DT,"1")</f>
        <v>1</v>
      </c>
      <c r="E127" s="3">
        <f>COUNTIF('MINGALA_Cleaned Data'!DU:DU,"1")</f>
        <v>0</v>
      </c>
      <c r="F127" s="3">
        <f>COUNTIF('MINGALA_Cleaned Data'!DV:DV,"1")</f>
        <v>10</v>
      </c>
      <c r="G127" s="10"/>
      <c r="H127" s="10"/>
      <c r="I127" s="10"/>
      <c r="J127" s="10"/>
      <c r="K127" s="10"/>
      <c r="L127" s="10"/>
      <c r="M127" s="10"/>
      <c r="N127" s="10"/>
      <c r="O127" s="10"/>
      <c r="P127" s="10"/>
      <c r="Q127" s="10"/>
      <c r="R127" s="10"/>
    </row>
    <row r="128" spans="1:26" s="56" customFormat="1" ht="25.5" x14ac:dyDescent="0.3">
      <c r="A128" s="54" t="s">
        <v>3328</v>
      </c>
      <c r="B128" s="55">
        <f>(B127/$B$3)</f>
        <v>0</v>
      </c>
      <c r="C128" s="55">
        <f t="shared" ref="C128:F128" si="13">(C127/$B$3)</f>
        <v>0.15384615384615385</v>
      </c>
      <c r="D128" s="55">
        <f t="shared" si="13"/>
        <v>7.6923076923076927E-2</v>
      </c>
      <c r="E128" s="55">
        <f t="shared" si="13"/>
        <v>0</v>
      </c>
      <c r="F128" s="55">
        <f t="shared" si="13"/>
        <v>0.76923076923076927</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10"/>
      <c r="F129" s="10"/>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M131" s="112"/>
      <c r="N131" s="112"/>
      <c r="O131" s="98"/>
      <c r="P131" s="98"/>
      <c r="Q131" s="98"/>
      <c r="R131" s="98"/>
      <c r="S131" s="98"/>
      <c r="T131" s="98"/>
      <c r="U131" s="98"/>
      <c r="V131" s="98"/>
      <c r="W131" s="98"/>
      <c r="X131" s="98"/>
      <c r="Y131" s="98"/>
      <c r="Z131" s="98"/>
    </row>
    <row r="132" spans="1:26" ht="14.5" x14ac:dyDescent="0.3">
      <c r="A132" s="3">
        <f>COUNTIF('MINGALA_Cleaned Data'!DY:DY,"1")</f>
        <v>1</v>
      </c>
      <c r="B132" s="3">
        <f>COUNTIF('MINGALA_Cleaned Data'!DZ:DZ,"1")</f>
        <v>2</v>
      </c>
      <c r="C132" s="3">
        <f>COUNTIF('MINGALA_Cleaned Data'!EA:EA,"1")</f>
        <v>2</v>
      </c>
      <c r="D132" s="3">
        <f>COUNTIF('MINGALA_Cleaned Data'!EB:EB,"1")</f>
        <v>0</v>
      </c>
      <c r="E132" s="3">
        <f>COUNTIF('MINGALA_Cleaned Data'!EC:EC,"1")</f>
        <v>0</v>
      </c>
      <c r="F132" s="3">
        <f>COUNTIF('MINGALA_Cleaned Data'!ED:ED,"1")</f>
        <v>0</v>
      </c>
      <c r="G132" s="3">
        <f>COUNTIF('MINGALA_Cleaned Data'!EE:EE,"1")</f>
        <v>0</v>
      </c>
      <c r="H132" s="3">
        <f>COUNTIF('MINGALA_Cleaned Data'!EF:EF,"1")</f>
        <v>9</v>
      </c>
      <c r="I132" s="3">
        <f>COUNTIF('MINGALA_Cleaned Data'!EG:EG,"1")</f>
        <v>6</v>
      </c>
      <c r="J132" s="3">
        <f>COUNTIF('MINGALA_Cleaned Data'!EH:EH,"1")</f>
        <v>0</v>
      </c>
      <c r="K132" s="3">
        <f>COUNTIF('MINGALA_Cleaned Data'!EI:EI,"1")</f>
        <v>0</v>
      </c>
      <c r="L132" s="3">
        <f>COUNTIF('MINGALA_Cleaned Data'!EJ:EJ,"1")</f>
        <v>1</v>
      </c>
      <c r="M132" s="112"/>
      <c r="N132" s="10"/>
      <c r="O132" s="10"/>
      <c r="P132" s="10"/>
      <c r="Q132" s="10"/>
      <c r="R132" s="10"/>
    </row>
    <row r="133" spans="1:26" ht="14.5" x14ac:dyDescent="0.3">
      <c r="A133" s="10"/>
      <c r="B133" s="10"/>
      <c r="C133" s="10"/>
      <c r="D133" s="10"/>
      <c r="E133" s="10"/>
      <c r="F133" s="10"/>
      <c r="G133" s="10"/>
      <c r="H133" s="10"/>
      <c r="I133" s="10"/>
      <c r="J133" s="10"/>
      <c r="K133" s="10"/>
      <c r="L133" s="74" t="s">
        <v>3347</v>
      </c>
      <c r="M133" s="112"/>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5">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M135" s="98"/>
      <c r="N135" s="98"/>
      <c r="O135" s="98"/>
      <c r="P135" s="98"/>
      <c r="Q135" s="98"/>
      <c r="R135" s="98"/>
      <c r="S135" s="98"/>
      <c r="T135" s="98"/>
      <c r="U135" s="98"/>
      <c r="V135" s="98"/>
      <c r="W135" s="98"/>
      <c r="X135" s="98"/>
      <c r="Y135" s="98"/>
      <c r="Z135" s="98"/>
    </row>
    <row r="136" spans="1:26" x14ac:dyDescent="0.3">
      <c r="A136" s="24">
        <f>COUNTIF('MINGALA_Cleaned Data'!EN:EN,"1")</f>
        <v>0</v>
      </c>
      <c r="B136" s="24">
        <f>COUNTIF('MINGALA_Cleaned Data'!EO:EO,"1")</f>
        <v>0</v>
      </c>
      <c r="C136" s="24">
        <f>COUNTIF('MINGALA_Cleaned Data'!EP:EP,"1")</f>
        <v>0</v>
      </c>
      <c r="D136" s="24">
        <f>COUNTIF('MINGALA_Cleaned Data'!EQ:EQ,"1")</f>
        <v>1</v>
      </c>
      <c r="E136" s="24">
        <f>COUNTIF('MINGALA_Cleaned Data'!ER:ER,"1")</f>
        <v>4</v>
      </c>
      <c r="F136" s="24">
        <f>COUNTIF('MINGALA_Cleaned Data'!ES:ES,"1")</f>
        <v>2</v>
      </c>
      <c r="G136" s="24">
        <f>COUNTIF('MINGALA_Cleaned Data'!ET:ET,"1")</f>
        <v>5</v>
      </c>
      <c r="H136" s="24">
        <f>COUNTIF('MINGALA_Cleaned Data'!EU:EU,"1")</f>
        <v>4</v>
      </c>
      <c r="I136" s="24">
        <f>COUNTIF('MINGALA_Cleaned Data'!EV:EV,"1")</f>
        <v>2</v>
      </c>
      <c r="J136" s="24">
        <f>COUNTIF('MINGALA_Cleaned Data'!EW:EW,"1")</f>
        <v>3</v>
      </c>
      <c r="K136" s="24">
        <f>COUNTIF('MINGALA_Cleaned Data'!EX:EX,"1")</f>
        <v>0</v>
      </c>
      <c r="L136" s="24">
        <f>COUNTIF('MINGALA_Cleaned Data'!EY:EY,"1")</f>
        <v>0</v>
      </c>
      <c r="M136" s="98"/>
      <c r="N136" s="10"/>
      <c r="O136" s="10"/>
      <c r="P136" s="10"/>
      <c r="Q136" s="10"/>
      <c r="R136" s="10"/>
    </row>
    <row r="137" spans="1:26" x14ac:dyDescent="0.3">
      <c r="A137" s="10"/>
      <c r="B137" s="10"/>
      <c r="C137" s="10"/>
      <c r="D137" s="10"/>
      <c r="E137" s="10"/>
      <c r="F137" s="10"/>
      <c r="G137" s="10"/>
      <c r="H137" s="10"/>
      <c r="I137" s="10"/>
      <c r="J137" s="10"/>
      <c r="K137" s="10"/>
      <c r="L137" s="10"/>
      <c r="M137" s="98"/>
      <c r="N137" s="10"/>
      <c r="O137" s="10"/>
      <c r="P137" s="10"/>
      <c r="Q137" s="10"/>
      <c r="R137" s="10"/>
    </row>
    <row r="138" spans="1:26" ht="15.5" x14ac:dyDescent="0.35">
      <c r="A138" s="29" t="s">
        <v>1334</v>
      </c>
      <c r="B138" s="10"/>
      <c r="C138" s="10"/>
      <c r="D138" s="10"/>
      <c r="E138" s="10"/>
      <c r="F138" s="10"/>
      <c r="G138" s="10"/>
      <c r="H138" s="10"/>
      <c r="I138" s="10"/>
      <c r="J138" s="10"/>
      <c r="K138" s="10"/>
      <c r="L138" s="10"/>
      <c r="M138" s="98"/>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COUNTIF('MINGALA_Cleaned Data'!FB:FB,"OUI")</f>
        <v>3</v>
      </c>
      <c r="C140" s="24">
        <f>COUNTIF('MINGALA_Cleaned Data'!FB:FB,"non")</f>
        <v>10</v>
      </c>
      <c r="D140" s="111">
        <f>SUM(B140:C140)</f>
        <v>13</v>
      </c>
      <c r="E140" s="10"/>
      <c r="F140" s="10"/>
      <c r="G140" s="10"/>
      <c r="H140" s="10"/>
      <c r="I140" s="10"/>
      <c r="J140" s="10"/>
      <c r="K140" s="10"/>
      <c r="L140" s="10"/>
      <c r="M140" s="10"/>
      <c r="N140" s="10"/>
      <c r="O140" s="10"/>
      <c r="P140" s="10"/>
      <c r="Q140" s="10"/>
      <c r="R140" s="10"/>
    </row>
    <row r="141" spans="1:26" ht="26" x14ac:dyDescent="0.3">
      <c r="A141" s="53" t="s">
        <v>3246</v>
      </c>
      <c r="B141" s="7">
        <f>(B140/$B$3)</f>
        <v>0.23076923076923078</v>
      </c>
      <c r="C141" s="7">
        <f>(C140/$B$3)</f>
        <v>0.76923076923076927</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COUNTIF('MINGALA_Cleaned Data'!FD:FD,"1")</f>
        <v>0</v>
      </c>
      <c r="D145" s="24">
        <f>COUNTIF('MINGALA_Cleaned Data'!FE:FE,"1")</f>
        <v>0</v>
      </c>
      <c r="E145" s="24">
        <f>COUNTIF('MINGALA_Cleaned Data'!FF:FF,"1")</f>
        <v>0</v>
      </c>
      <c r="F145" s="24">
        <f>COUNTIF('MINGALA_Cleaned Data'!FG:FG,"1")</f>
        <v>0</v>
      </c>
      <c r="G145" s="24">
        <f>COUNTIF('MINGALA_Cleaned Data'!FH:FH,"1")</f>
        <v>3</v>
      </c>
      <c r="H145" s="24">
        <f>COUNTIF('MINGALA_Cleaned Data'!FI:FI,"1")</f>
        <v>0</v>
      </c>
      <c r="I145" s="24">
        <f>COUNTIF('MINGALA_Cleaned Data'!FJ:FJ,"1")</f>
        <v>0</v>
      </c>
      <c r="J145" s="10"/>
      <c r="K145" s="10"/>
      <c r="L145" s="10"/>
      <c r="M145" s="10"/>
      <c r="N145" s="10"/>
      <c r="O145" s="10"/>
      <c r="P145" s="10"/>
      <c r="Q145" s="10"/>
      <c r="R145" s="10"/>
    </row>
    <row r="146" spans="1:26" ht="49" x14ac:dyDescent="0.3">
      <c r="A146" s="10"/>
      <c r="B146" s="53" t="s">
        <v>3255</v>
      </c>
      <c r="C146" s="7">
        <f>C145/$B$140</f>
        <v>0</v>
      </c>
      <c r="D146" s="7">
        <f t="shared" ref="D146:I146" si="14">D145/$B$140</f>
        <v>0</v>
      </c>
      <c r="E146" s="7">
        <f t="shared" si="14"/>
        <v>0</v>
      </c>
      <c r="F146" s="7">
        <f t="shared" si="14"/>
        <v>0</v>
      </c>
      <c r="G146" s="7">
        <f t="shared" si="14"/>
        <v>1</v>
      </c>
      <c r="H146" s="7">
        <f t="shared" si="14"/>
        <v>0</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COUNTIF('MINGALA_Cleaned Data'!FM:FM,"1")</f>
        <v>0</v>
      </c>
      <c r="D150" s="24">
        <f>COUNTIF('MINGALA_Cleaned Data'!FN:FN,"1")</f>
        <v>0</v>
      </c>
      <c r="E150" s="24">
        <f>COUNTIF('MINGALA_Cleaned Data'!FO:FO,"1")</f>
        <v>1</v>
      </c>
      <c r="F150" s="24">
        <f>COUNTIF('MINGALA_Cleaned Data'!FP:FP,"1")</f>
        <v>0</v>
      </c>
      <c r="G150" s="24">
        <f>COUNTIF('MINGALA_Cleaned Data'!FQ:FQ,"1")</f>
        <v>0</v>
      </c>
      <c r="H150" s="24">
        <f>COUNTIF('MINGALA_Cleaned Data'!FR:FR,"1")</f>
        <v>1</v>
      </c>
      <c r="I150" s="24">
        <f>COUNTIF('MINGALA_Cleaned Data'!FS:FS,"1")</f>
        <v>0</v>
      </c>
      <c r="J150" s="24">
        <f>COUNTIF('MINGALA_Cleaned Data'!FT:FT,"1")</f>
        <v>0</v>
      </c>
      <c r="K150" s="24">
        <f>COUNTIF('MINGALA_Cleaned Data'!FU:FU,"1")</f>
        <v>1</v>
      </c>
      <c r="L150" s="24">
        <f>COUNTIF('MINGALA_Cleaned Data'!FV:FV,"1")</f>
        <v>0</v>
      </c>
      <c r="M150" s="24">
        <f>COUNTIF('MINGALA_Cleaned Data'!FW:FW,"1")</f>
        <v>0</v>
      </c>
      <c r="N150" s="24">
        <f>COUNTIF('MINGALA_Cleaned Data'!FX:FX,"1")</f>
        <v>0</v>
      </c>
      <c r="O150" s="24">
        <f>COUNTIF('MINGALA_Cleaned Data'!FY:FY,"1")</f>
        <v>0</v>
      </c>
      <c r="P150" s="10"/>
      <c r="Q150" s="10"/>
      <c r="R150" s="10"/>
    </row>
    <row r="151" spans="1:26" ht="49" x14ac:dyDescent="0.3">
      <c r="A151" s="10"/>
      <c r="B151" s="53" t="s">
        <v>3255</v>
      </c>
      <c r="C151" s="7">
        <f>C150/$B$140</f>
        <v>0</v>
      </c>
      <c r="D151" s="7">
        <f t="shared" ref="D151:O151" si="15">D150/$B$140</f>
        <v>0</v>
      </c>
      <c r="E151" s="7">
        <f t="shared" si="15"/>
        <v>0.33333333333333331</v>
      </c>
      <c r="F151" s="7">
        <f t="shared" si="15"/>
        <v>0</v>
      </c>
      <c r="G151" s="7">
        <f t="shared" si="15"/>
        <v>0</v>
      </c>
      <c r="H151" s="7">
        <f t="shared" si="15"/>
        <v>0.33333333333333331</v>
      </c>
      <c r="I151" s="7">
        <f t="shared" si="15"/>
        <v>0</v>
      </c>
      <c r="J151" s="7">
        <f t="shared" si="15"/>
        <v>0</v>
      </c>
      <c r="K151" s="7">
        <f t="shared" si="15"/>
        <v>0.33333333333333331</v>
      </c>
      <c r="L151" s="7">
        <f t="shared" si="15"/>
        <v>0</v>
      </c>
      <c r="M151" s="7">
        <f t="shared" si="15"/>
        <v>0</v>
      </c>
      <c r="N151" s="7">
        <f t="shared" si="15"/>
        <v>0</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COUNTIF('MINGALA_Cleaned Data'!GA:GA,"OUI")</f>
        <v>1</v>
      </c>
      <c r="D155" s="24">
        <f>COUNTIF('MINGALA_Cleaned Data'!GA:GA,"non")</f>
        <v>2</v>
      </c>
      <c r="E155" s="111">
        <f>SUM(C155:D155)</f>
        <v>3</v>
      </c>
      <c r="F155" s="10"/>
      <c r="G155" s="10"/>
      <c r="H155" s="10"/>
      <c r="I155" s="10"/>
      <c r="J155" s="10"/>
      <c r="K155" s="10"/>
      <c r="L155" s="10"/>
      <c r="M155" s="10"/>
      <c r="N155" s="10"/>
      <c r="O155" s="10"/>
      <c r="P155" s="10"/>
      <c r="Q155" s="10"/>
      <c r="R155" s="10"/>
    </row>
    <row r="156" spans="1:26" ht="49" x14ac:dyDescent="0.3">
      <c r="A156" s="10"/>
      <c r="B156" s="53" t="s">
        <v>3255</v>
      </c>
      <c r="C156" s="7">
        <f>(C155/$B$140)</f>
        <v>0.33333333333333331</v>
      </c>
      <c r="D156" s="7">
        <f>(D155/$B$140)</f>
        <v>0.66666666666666663</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COUNTIF('MINGALA_Cleaned Data'!GC:GC,"1")</f>
        <v>1</v>
      </c>
      <c r="E160" s="4">
        <f>COUNTIF('MINGALA_Cleaned Data'!GD:GD,"1")</f>
        <v>2</v>
      </c>
      <c r="F160" s="4">
        <f>COUNTIF('MINGALA_Cleaned Data'!GE:GE,"1")</f>
        <v>1</v>
      </c>
      <c r="G160" s="4">
        <f>COUNTIF('MINGALA_Cleaned Data'!GF:GF,"1")</f>
        <v>0</v>
      </c>
      <c r="H160" s="4">
        <f>COUNTIF('MINGALA_Cleaned Data'!GG:GG,"1")</f>
        <v>0</v>
      </c>
      <c r="I160" s="10"/>
      <c r="J160" s="10"/>
      <c r="K160" s="10"/>
      <c r="L160" s="10"/>
      <c r="M160" s="10"/>
      <c r="N160" s="10"/>
      <c r="O160" s="10"/>
      <c r="P160" s="10"/>
      <c r="Q160" s="10"/>
      <c r="R160" s="10"/>
    </row>
    <row r="161" spans="1:13" s="10" customFormat="1" ht="49" x14ac:dyDescent="0.3">
      <c r="C161" s="53" t="s">
        <v>3256</v>
      </c>
      <c r="D161" s="7">
        <f>D160/$D$155</f>
        <v>0.5</v>
      </c>
      <c r="E161" s="7">
        <f t="shared" ref="E161:H161" si="16">E160/$D$155</f>
        <v>1</v>
      </c>
      <c r="F161" s="7">
        <f t="shared" si="16"/>
        <v>0.5</v>
      </c>
      <c r="G161" s="7">
        <f t="shared" si="16"/>
        <v>0</v>
      </c>
      <c r="H161" s="7">
        <f t="shared" si="16"/>
        <v>0</v>
      </c>
    </row>
    <row r="162" spans="1:13" s="10" customFormat="1" x14ac:dyDescent="0.3"/>
    <row r="163" spans="1:13" s="10" customFormat="1" x14ac:dyDescent="0.3"/>
    <row r="164" spans="1:13" s="10" customFormat="1" ht="15.5" x14ac:dyDescent="0.35">
      <c r="A164" s="9" t="s">
        <v>1301</v>
      </c>
      <c r="C164" s="103" t="s">
        <v>3245</v>
      </c>
    </row>
    <row r="165" spans="1:13" s="10" customFormat="1" x14ac:dyDescent="0.3"/>
    <row r="166" spans="1:13" s="10" customFormat="1"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row>
    <row r="167" spans="1:13" s="10" customFormat="1" x14ac:dyDescent="0.3">
      <c r="A167" s="24">
        <f>COUNTIF('MINGALA_Cleaned Data'!GJ:GJ,"1")</f>
        <v>2</v>
      </c>
      <c r="B167" s="24">
        <f>COUNTIF('MINGALA_Cleaned Data'!GK:GK,"1")</f>
        <v>9</v>
      </c>
      <c r="C167" s="24">
        <f>COUNTIF('MINGALA_Cleaned Data'!GL:GL,"1")</f>
        <v>6</v>
      </c>
      <c r="D167" s="24">
        <f>COUNTIF('MINGALA_Cleaned Data'!GM:GM,"1")</f>
        <v>0</v>
      </c>
      <c r="E167" s="24">
        <f>COUNTIF('MINGALA_Cleaned Data'!GN:GN,"1")</f>
        <v>4</v>
      </c>
      <c r="F167" s="24">
        <f>COUNTIF('MINGALA_Cleaned Data'!GO:GO,"1")</f>
        <v>4</v>
      </c>
      <c r="G167" s="24">
        <f>COUNTIF('MINGALA_Cleaned Data'!GP:GP,"1")</f>
        <v>8</v>
      </c>
      <c r="H167" s="24">
        <f>COUNTIF('MINGALA_Cleaned Data'!GQ:GQ,"1")</f>
        <v>7</v>
      </c>
      <c r="I167" s="24">
        <f>COUNTIF('MINGALA_Cleaned Data'!GR:GR,"1")</f>
        <v>4</v>
      </c>
      <c r="J167" s="24">
        <f>COUNTIF('MINGALA_Cleaned Data'!GS:GS,"1")</f>
        <v>0</v>
      </c>
      <c r="K167" s="24">
        <f>COUNTIF('MINGALA_Cleaned Data'!GT:GT,"1")</f>
        <v>0</v>
      </c>
      <c r="L167" s="24">
        <f>COUNTIF('MINGALA_Cleaned Data'!GU:GU,"1")</f>
        <v>0</v>
      </c>
      <c r="M167" s="24">
        <f>COUNTIF('MINGALA_Cleaned Data'!GV:GV,"1")</f>
        <v>0</v>
      </c>
    </row>
    <row r="168" spans="1:13" s="10" customFormat="1" x14ac:dyDescent="0.3"/>
    <row r="169" spans="1:13" s="10" customFormat="1" x14ac:dyDescent="0.3"/>
    <row r="170" spans="1:13" s="10" customFormat="1" x14ac:dyDescent="0.3"/>
    <row r="171" spans="1:13" s="10" customFormat="1" x14ac:dyDescent="0.3"/>
    <row r="172" spans="1:13" s="10" customFormat="1" x14ac:dyDescent="0.3"/>
    <row r="173" spans="1:13" s="10" customFormat="1" x14ac:dyDescent="0.3"/>
    <row r="174" spans="1:13" s="10" customFormat="1" x14ac:dyDescent="0.3"/>
    <row r="175" spans="1:13" s="10" customFormat="1" x14ac:dyDescent="0.3"/>
    <row r="176" spans="1:13"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pans="1:10" s="10" customFormat="1" x14ac:dyDescent="0.3"/>
    <row r="210" spans="1:10" s="10" customFormat="1" x14ac:dyDescent="0.3"/>
    <row r="211" spans="1:10" s="10" customFormat="1" x14ac:dyDescent="0.3"/>
    <row r="212" spans="1:10" s="10" customFormat="1" x14ac:dyDescent="0.3"/>
    <row r="213" spans="1:10" s="10" customFormat="1" x14ac:dyDescent="0.3"/>
    <row r="214" spans="1:10" s="10" customFormat="1" x14ac:dyDescent="0.3"/>
    <row r="215" spans="1:10" s="10" customFormat="1" x14ac:dyDescent="0.3"/>
    <row r="216" spans="1:10" s="10" customFormat="1" x14ac:dyDescent="0.3"/>
    <row r="217" spans="1:10" s="10" customFormat="1" x14ac:dyDescent="0.3"/>
    <row r="218" spans="1:10" s="10" customFormat="1" x14ac:dyDescent="0.3"/>
    <row r="219" spans="1:10" s="10" customFormat="1" x14ac:dyDescent="0.3"/>
    <row r="220" spans="1:10" s="10" customFormat="1" x14ac:dyDescent="0.3"/>
    <row r="221" spans="1:10" s="10" customFormat="1" x14ac:dyDescent="0.3"/>
    <row r="222" spans="1:10" s="10" customFormat="1" x14ac:dyDescent="0.3"/>
    <row r="223" spans="1:10" s="10" customFormat="1" x14ac:dyDescent="0.3">
      <c r="A223" s="1"/>
      <c r="B223" s="1"/>
      <c r="C223" s="1"/>
      <c r="D223" s="1"/>
      <c r="E223" s="1"/>
      <c r="F223" s="1"/>
      <c r="G223" s="1"/>
      <c r="H223" s="1"/>
      <c r="I223" s="1"/>
      <c r="J223" s="1"/>
    </row>
  </sheetData>
  <conditionalFormatting sqref="A132:L132">
    <cfRule type="colorScale" priority="36">
      <colorScale>
        <cfvo type="min"/>
        <cfvo type="max"/>
        <color theme="6" tint="0.79998168889431442"/>
        <color theme="5" tint="0.39997558519241921"/>
      </colorScale>
    </cfRule>
  </conditionalFormatting>
  <conditionalFormatting sqref="A136:L136">
    <cfRule type="colorScale" priority="35">
      <colorScale>
        <cfvo type="min"/>
        <cfvo type="max"/>
        <color theme="6" tint="0.79998168889431442"/>
        <color theme="5" tint="0.39997558519241921"/>
      </colorScale>
    </cfRule>
  </conditionalFormatting>
  <conditionalFormatting sqref="C150:O150">
    <cfRule type="colorScale" priority="34">
      <colorScale>
        <cfvo type="min"/>
        <cfvo type="max"/>
        <color theme="6" tint="0.79998168889431442"/>
        <color theme="5" tint="0.39997558519241921"/>
      </colorScale>
    </cfRule>
  </conditionalFormatting>
  <conditionalFormatting sqref="D160:H160">
    <cfRule type="colorScale" priority="33">
      <colorScale>
        <cfvo type="min"/>
        <cfvo type="max"/>
        <color theme="6" tint="0.79998168889431442"/>
        <color theme="5" tint="0.39997558519241921"/>
      </colorScale>
    </cfRule>
  </conditionalFormatting>
  <conditionalFormatting sqref="A167:M167">
    <cfRule type="colorScale" priority="32">
      <colorScale>
        <cfvo type="min"/>
        <cfvo type="max"/>
        <color theme="6" tint="0.79998168889431442"/>
        <color theme="5" tint="0.39997558519241921"/>
      </colorScale>
    </cfRule>
  </conditionalFormatting>
  <conditionalFormatting sqref="B53:H53 A60:F60 D61:F61">
    <cfRule type="colorScale" priority="31">
      <colorScale>
        <cfvo type="min"/>
        <cfvo type="max"/>
        <color theme="6" tint="0.79998168889431442"/>
        <color theme="5" tint="0.39997558519241921"/>
      </colorScale>
    </cfRule>
  </conditionalFormatting>
  <conditionalFormatting sqref="B68:C68">
    <cfRule type="colorScale" priority="30">
      <colorScale>
        <cfvo type="min"/>
        <cfvo type="max"/>
        <color theme="6" tint="0.79998168889431442"/>
        <color theme="5" tint="0.39997558519241921"/>
      </colorScale>
    </cfRule>
  </conditionalFormatting>
  <conditionalFormatting sqref="C78:J78">
    <cfRule type="colorScale" priority="29">
      <colorScale>
        <cfvo type="min"/>
        <cfvo type="max"/>
        <color theme="6" tint="0.79998168889431442"/>
        <color theme="5" tint="0.39997558519241921"/>
      </colorScale>
    </cfRule>
  </conditionalFormatting>
  <conditionalFormatting sqref="B38:L38">
    <cfRule type="colorScale" priority="28">
      <colorScale>
        <cfvo type="min"/>
        <cfvo type="max"/>
        <color theme="6" tint="0.79998168889431442"/>
        <color theme="5" tint="0.39997558519241921"/>
      </colorScale>
    </cfRule>
  </conditionalFormatting>
  <conditionalFormatting sqref="B13:C13">
    <cfRule type="colorScale" priority="27">
      <colorScale>
        <cfvo type="min"/>
        <cfvo type="max"/>
        <color theme="6" tint="0.79998168889431442"/>
        <color theme="5" tint="0.39997558519241921"/>
      </colorScale>
    </cfRule>
  </conditionalFormatting>
  <conditionalFormatting sqref="B7:G7">
    <cfRule type="colorScale" priority="26">
      <colorScale>
        <cfvo type="min"/>
        <cfvo type="max"/>
        <color theme="6" tint="0.79998168889431442"/>
        <color theme="5" tint="0.39997558519241921"/>
      </colorScale>
    </cfRule>
  </conditionalFormatting>
  <conditionalFormatting sqref="B90:D90">
    <cfRule type="colorScale" priority="25">
      <colorScale>
        <cfvo type="min"/>
        <cfvo type="max"/>
        <color theme="6" tint="0.79998168889431442"/>
        <color theme="5" tint="0.39997558519241921"/>
      </colorScale>
    </cfRule>
  </conditionalFormatting>
  <conditionalFormatting sqref="D13">
    <cfRule type="colorScale" priority="24">
      <colorScale>
        <cfvo type="min"/>
        <cfvo type="max"/>
        <color theme="6" tint="0.79998168889431442"/>
        <color theme="5" tint="0.39997558519241921"/>
      </colorScale>
    </cfRule>
  </conditionalFormatting>
  <conditionalFormatting sqref="D18:F18">
    <cfRule type="colorScale" priority="23">
      <colorScale>
        <cfvo type="min"/>
        <cfvo type="max"/>
        <color theme="6" tint="0.79998168889431442"/>
        <color theme="5" tint="0.39997558519241921"/>
      </colorScale>
    </cfRule>
  </conditionalFormatting>
  <conditionalFormatting sqref="B58:F58">
    <cfRule type="colorScale" priority="22">
      <colorScale>
        <cfvo type="min"/>
        <cfvo type="max"/>
        <color theme="6" tint="0.79998168889431442"/>
        <color theme="5" tint="0.39997558519241921"/>
      </colorScale>
    </cfRule>
  </conditionalFormatting>
  <conditionalFormatting sqref="A44:A45">
    <cfRule type="duplicateValues" dxfId="14" priority="21"/>
  </conditionalFormatting>
  <conditionalFormatting sqref="A52:A53">
    <cfRule type="duplicateValues" dxfId="13"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12"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D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6">
      <colorScale>
        <cfvo type="min"/>
        <cfvo type="max"/>
        <color theme="6" tint="0.79998168889431442"/>
        <color theme="5" tint="0.39997558519241921"/>
      </colorScale>
    </cfRule>
  </conditionalFormatting>
  <conditionalFormatting sqref="D33:H33">
    <cfRule type="colorScale" priority="5">
      <colorScale>
        <cfvo type="min"/>
        <cfvo type="max"/>
        <color theme="6" tint="0.79998168889431442"/>
        <color theme="5" tint="0.39997558519241921"/>
      </colorScale>
    </cfRule>
  </conditionalFormatting>
  <conditionalFormatting sqref="H7">
    <cfRule type="colorScale" priority="4">
      <colorScale>
        <cfvo type="min"/>
        <cfvo type="max"/>
        <color theme="6" tint="0.79998168889431442"/>
        <color theme="5" tint="0.39997558519241921"/>
      </colorScale>
    </cfRule>
  </conditionalFormatting>
  <conditionalFormatting sqref="B63:H63">
    <cfRule type="colorScale" priority="3">
      <colorScale>
        <cfvo type="min"/>
        <cfvo type="max"/>
        <color theme="6" tint="0.79998168889431442"/>
        <color theme="5" tint="0.39997558519241921"/>
      </colorScale>
    </cfRule>
  </conditionalFormatting>
  <conditionalFormatting sqref="B127:F127">
    <cfRule type="colorScale" priority="2">
      <colorScale>
        <cfvo type="min"/>
        <cfvo type="max"/>
        <color theme="6" tint="0.79998168889431442"/>
        <color theme="5" tint="0.39997558519241921"/>
      </colorScale>
    </cfRule>
  </conditionalFormatting>
  <conditionalFormatting sqref="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Z304"/>
  <sheetViews>
    <sheetView zoomScale="80" zoomScaleNormal="80" workbookViewId="0">
      <selection activeCell="H99" sqref="H99"/>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8.90625" style="10" customWidth="1"/>
    <col min="9" max="9" width="11.7265625" style="10" customWidth="1"/>
    <col min="10" max="10" width="12.453125" style="10" customWidth="1"/>
    <col min="11" max="11" width="12.36328125" style="10" customWidth="1"/>
    <col min="12" max="12" width="15" style="10" customWidth="1"/>
    <col min="13" max="16384" width="8.81640625" style="10"/>
  </cols>
  <sheetData>
    <row r="2" spans="1:13" ht="15.5" x14ac:dyDescent="0.35">
      <c r="A2" s="9" t="s">
        <v>1294</v>
      </c>
    </row>
    <row r="3" spans="1:13" ht="15.5" x14ac:dyDescent="0.35">
      <c r="A3" s="29" t="s">
        <v>1408</v>
      </c>
      <c r="B3" s="83"/>
      <c r="C3" s="84" t="str">
        <f>IF(COUNTIF('MINGALA_Cleaned Data'!OK:OK,"hopital_district")=1,"OUI","NON")</f>
        <v>NON</v>
      </c>
    </row>
    <row r="4" spans="1:13" ht="34" customHeight="1" x14ac:dyDescent="0.3">
      <c r="A4" s="155" t="s">
        <v>3318</v>
      </c>
      <c r="B4" s="155"/>
      <c r="C4" s="73">
        <f>COUNTIFS('MINGALA_Cleaned Data'!N:N,"sante",'MINGALA_Cleaned Data'!J:J,"MINGALA")</f>
        <v>1</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COUNTIF('MINGALA_Cleaned Data'!ON:ON,"oui")</f>
        <v>1</v>
      </c>
      <c r="C9" s="24">
        <f>COUNTIF('MINGALA_Cleaned Data'!ON:ON,"non")</f>
        <v>0</v>
      </c>
      <c r="D9" s="24">
        <f>COUNTIF('MINGALA_Cleaned Data'!ON:ON,"partiel")</f>
        <v>0</v>
      </c>
      <c r="E9" s="52">
        <f>SUM(B9+D9)</f>
        <v>1</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118" t="s">
        <v>2033</v>
      </c>
      <c r="D13" s="118" t="s">
        <v>1938</v>
      </c>
      <c r="E13" s="118" t="s">
        <v>2034</v>
      </c>
      <c r="F13" s="118" t="s">
        <v>1939</v>
      </c>
      <c r="G13" s="118" t="s">
        <v>1940</v>
      </c>
      <c r="H13" s="118" t="s">
        <v>2035</v>
      </c>
      <c r="I13" s="118" t="s">
        <v>2036</v>
      </c>
      <c r="J13" s="118" t="s">
        <v>1942</v>
      </c>
      <c r="K13" s="118" t="s">
        <v>1943</v>
      </c>
      <c r="L13" s="118" t="s">
        <v>1905</v>
      </c>
      <c r="M13" s="118" t="s">
        <v>1220</v>
      </c>
    </row>
    <row r="14" spans="1:13" x14ac:dyDescent="0.3">
      <c r="B14" s="3" t="s">
        <v>1207</v>
      </c>
      <c r="C14" s="3">
        <f>COUNTIF('MINGALA_Cleaned Data'!OS:OS,"1")</f>
        <v>0</v>
      </c>
      <c r="D14" s="3">
        <f>COUNTIF('MINGALA_Cleaned Data'!OT:OT,"1")</f>
        <v>0</v>
      </c>
      <c r="E14" s="3">
        <f>COUNTIF('MINGALA_Cleaned Data'!PE:PE,"1")</f>
        <v>0</v>
      </c>
      <c r="F14" s="3">
        <f>COUNTIF('MINGALA_Cleaned Data'!PF:PF,"1")</f>
        <v>0</v>
      </c>
      <c r="G14" s="3">
        <f>COUNTIF('MINGALA_Cleaned Data'!PG:PG,"1")</f>
        <v>0</v>
      </c>
      <c r="H14" s="3">
        <f>COUNTIF('MINGALA_Cleaned Data'!OW:OW,"1")</f>
        <v>0</v>
      </c>
      <c r="I14" s="3">
        <f>COUNTIF('MINGALA_Cleaned Data'!PH:PH,"1")</f>
        <v>0</v>
      </c>
      <c r="J14" s="3">
        <f>COUNTIF('MINGALA_Cleaned Data'!PB:PB,"1")</f>
        <v>0</v>
      </c>
      <c r="K14" s="3">
        <f>COUNTIF('MINGALA_Cleaned Data'!PI:PI,"1")</f>
        <v>0</v>
      </c>
      <c r="L14" s="3">
        <f>COUNTIF('MINGALA_Cleaned Data'!PC:PC,"1")</f>
        <v>0</v>
      </c>
      <c r="M14" s="3">
        <f>COUNTIF('MINGALA_Cleaned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COUNTIF('MINGALA_Cleaned Data'!PK:PK,"moins_six_mois")</f>
        <v>0</v>
      </c>
      <c r="D19" s="3">
        <f>COUNTIF('MINGALA_Cleaned Data'!PK:PK,"six_mois_un_an ")</f>
        <v>0</v>
      </c>
      <c r="E19" s="3">
        <f>COUNTIF('MINGALA_Cleaned Data'!PK:PK,"un_an_trois_ans")</f>
        <v>0</v>
      </c>
      <c r="F19" s="3">
        <f>COUNTIF('MINGALA_Cleaned Data'!PK:PK,"plus_trois_ans")</f>
        <v>0</v>
      </c>
      <c r="G19" s="3">
        <f>COUNTIF('MINGALA_Cleaned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118" t="s">
        <v>1944</v>
      </c>
      <c r="D23" s="118" t="s">
        <v>2037</v>
      </c>
      <c r="E23" s="118" t="s">
        <v>2038</v>
      </c>
      <c r="F23" s="118" t="s">
        <v>2039</v>
      </c>
      <c r="G23" s="118" t="s">
        <v>2040</v>
      </c>
      <c r="H23" s="118" t="s">
        <v>2041</v>
      </c>
      <c r="I23" s="118" t="s">
        <v>2042</v>
      </c>
      <c r="J23" s="118" t="s">
        <v>2043</v>
      </c>
      <c r="K23" s="118" t="s">
        <v>1905</v>
      </c>
      <c r="L23" s="118" t="s">
        <v>1220</v>
      </c>
    </row>
    <row r="24" spans="1:26" x14ac:dyDescent="0.3">
      <c r="B24" s="24" t="s">
        <v>1207</v>
      </c>
      <c r="C24" s="24">
        <f>COUNTIF('MINGALA_Cleaned Data'!OO:OO,"infra_endommagee")</f>
        <v>0</v>
      </c>
      <c r="D24" s="24">
        <f>COUNTIF('MINGALA_Cleaned Data'!OO:OO,"manque_mobilier")</f>
        <v>0</v>
      </c>
      <c r="E24" s="24">
        <f>COUNTIF('MINGALA_Cleaned Data'!OO:OO,"faibles_capacites_accueil")</f>
        <v>0</v>
      </c>
      <c r="F24" s="24">
        <f>COUNTIF('MINGALA_Cleaned Data'!OO:OO,"pbs_appro_eau_elec")</f>
        <v>0</v>
      </c>
      <c r="G24" s="24">
        <f>COUNTIF('MINGALA_Cleaned Data'!OO:OO,"pbs_fin_fonctionnement ")</f>
        <v>0</v>
      </c>
      <c r="H24" s="24">
        <f>COUNTIF('MINGALA_Cleaned Data'!OO:OO,"pbs_fin_fonctionnement_maintenance")</f>
        <v>0</v>
      </c>
      <c r="I24" s="24">
        <f>COUNTIF('MINGALA_Cleaned Data'!OO:OO,"pbs_appro_medicaments")</f>
        <v>0</v>
      </c>
      <c r="J24" s="24">
        <f>COUNTIF('MINGALA_Cleaned Data'!OO:OO,"pbs_personnels_qualifies")</f>
        <v>0</v>
      </c>
      <c r="K24" s="24">
        <f>COUNTIF('MINGALA_Cleaned Data'!OO:OO,"nsp")</f>
        <v>0</v>
      </c>
      <c r="L24" s="24">
        <f>COUNTIF('MINGALA_Cleaned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COUNTIF('MINGALA_Cleaned Data'!OQ:OQ,"moins_six_mois")</f>
        <v>0</v>
      </c>
      <c r="D29" s="3">
        <f>COUNTIF('MINGALA_Cleaned Data'!OQ:OQ,"six_mois_un_an ")</f>
        <v>0</v>
      </c>
      <c r="E29" s="3">
        <f>COUNTIF('MINGALA_Cleaned Data'!OQ:OQ,"un_an_trois_ans")</f>
        <v>0</v>
      </c>
      <c r="F29" s="3">
        <f>COUNTIF('MINGALA_Cleaned Data'!OQ:OQ,"plus_trois_ans")</f>
        <v>0</v>
      </c>
      <c r="G29" s="3">
        <f>COUNTIF('MINGALA_Cleaned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COUNTIF('MINGALA_Cleaned Data'!PX:PX,"oui")</f>
        <v>1</v>
      </c>
      <c r="C34" s="3">
        <f>COUNTIF('MINGALA_Cleaned Data'!PX:PX,"non")</f>
        <v>0</v>
      </c>
      <c r="D34" s="111">
        <f>SUM(B34:C34)</f>
        <v>1</v>
      </c>
    </row>
    <row r="35" spans="1:10" s="36" customFormat="1" ht="37" x14ac:dyDescent="0.3">
      <c r="A35" s="54" t="s">
        <v>3290</v>
      </c>
      <c r="B35" s="94">
        <f>(B34/$E$9)</f>
        <v>1</v>
      </c>
      <c r="C35" s="94">
        <f>(C34/$E$9)</f>
        <v>0</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COUNTIF('MINGALA_Cleaned Data'!PY:PY,"severes")</f>
        <v>1</v>
      </c>
      <c r="D39" s="77">
        <f>COUNTIF('MINGALA_Cleaned Data'!PY:PY,"moderes")</f>
        <v>0</v>
      </c>
      <c r="E39" s="77">
        <f>COUNTIF('MINGALA_Cleaned Data'!PY:PY,"faibles")</f>
        <v>0</v>
      </c>
      <c r="F39" s="111">
        <f>SUM(C39:E39)</f>
        <v>1</v>
      </c>
      <c r="G39" s="74"/>
    </row>
    <row r="40" spans="1:10" ht="47" customHeight="1" x14ac:dyDescent="0.3">
      <c r="B40" s="53" t="s">
        <v>3294</v>
      </c>
      <c r="C40" s="7">
        <f>C39/$B$34</f>
        <v>1</v>
      </c>
      <c r="D40" s="7">
        <f t="shared" ref="D40:E40" si="3">D39/$C$4</f>
        <v>0</v>
      </c>
      <c r="E40" s="7">
        <f t="shared" si="3"/>
        <v>0</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COUNTIF('MINGALA_Cleaned Data'!SO:SO,"1")</f>
        <v>1</v>
      </c>
      <c r="C44" s="38">
        <f>COUNTIF('MINGALA_Cleaned Data'!SP:SP,"1")</f>
        <v>1</v>
      </c>
      <c r="D44" s="38">
        <f>COUNTIF('MINGALA_Cleaned Data'!SQ:SQ,"1")</f>
        <v>0</v>
      </c>
      <c r="E44" s="38">
        <f>COUNTIF('MINGALA_Cleaned Data'!SR:SR,"1")</f>
        <v>0</v>
      </c>
      <c r="F44" s="38">
        <f>COUNTIF('MINGALA_Cleaned Data'!SS:SS,"1")</f>
        <v>0</v>
      </c>
      <c r="G44" s="38">
        <f>COUNTIF('MINGALA_Cleaned Data'!ST:ST,"1")</f>
        <v>0</v>
      </c>
      <c r="H44" s="38">
        <f>COUNTIF('MINGALA_Cleaned Data'!SZ:SZ,"1")</f>
        <v>0</v>
      </c>
      <c r="I44" s="38">
        <f>COUNTIF('MINGALA_Cleaned Data'!SV:SV,"1")</f>
        <v>0</v>
      </c>
      <c r="J44" s="38">
        <f>COUNTIF('MINGALA_Cleaned Data'!SW:SW,"1")</f>
        <v>0</v>
      </c>
    </row>
    <row r="45" spans="1:10" x14ac:dyDescent="0.3">
      <c r="A45" s="3" t="s">
        <v>1221</v>
      </c>
      <c r="B45" s="7">
        <f>B44/$B$9</f>
        <v>1</v>
      </c>
      <c r="C45" s="7">
        <f t="shared" ref="C45:J45" si="4">C44/$B$9</f>
        <v>1</v>
      </c>
      <c r="D45" s="7">
        <f t="shared" si="4"/>
        <v>0</v>
      </c>
      <c r="E45" s="7">
        <f t="shared" si="4"/>
        <v>0</v>
      </c>
      <c r="F45" s="7">
        <f t="shared" si="4"/>
        <v>0</v>
      </c>
      <c r="G45" s="7">
        <f t="shared" si="4"/>
        <v>0</v>
      </c>
      <c r="H45" s="7">
        <f t="shared" si="4"/>
        <v>0</v>
      </c>
      <c r="I45" s="7">
        <f t="shared" si="4"/>
        <v>0</v>
      </c>
      <c r="J45" s="7">
        <f t="shared" si="4"/>
        <v>0</v>
      </c>
    </row>
    <row r="46" spans="1:10" x14ac:dyDescent="0.3">
      <c r="A46" s="14"/>
      <c r="B46" s="15"/>
      <c r="C46" s="15"/>
      <c r="D46" s="15"/>
      <c r="J46" s="74"/>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COUNTIF('MINGALA_Cleaned Data'!PL:PL,"oui")</f>
        <v>0</v>
      </c>
      <c r="C49" s="3">
        <f>COUNTIF('MINGALA_Cleaned Data'!PL:PL,"non_non_fonctionnelles")</f>
        <v>0</v>
      </c>
      <c r="D49" s="3">
        <f>COUNTIF('MINGALA_Cleaned Data'!PL:PL,"non_aucun")</f>
        <v>1</v>
      </c>
      <c r="E49" s="111">
        <f>SUM(B49:D49)</f>
        <v>1</v>
      </c>
    </row>
    <row r="50" spans="1:6" s="36" customFormat="1" ht="37" x14ac:dyDescent="0.3">
      <c r="A50" s="54" t="s">
        <v>3290</v>
      </c>
      <c r="B50" s="94">
        <f>(B49/$E$9)</f>
        <v>0</v>
      </c>
      <c r="C50" s="94">
        <f t="shared" ref="C50:D50" si="5">(C49/$E$9)</f>
        <v>0</v>
      </c>
      <c r="D50" s="94">
        <f t="shared" si="5"/>
        <v>1</v>
      </c>
      <c r="E50" s="116">
        <f>SUM(B50:D50)</f>
        <v>1</v>
      </c>
    </row>
    <row r="52" spans="1:6" x14ac:dyDescent="0.3">
      <c r="B52" s="18" t="s">
        <v>1287</v>
      </c>
    </row>
    <row r="53" spans="1:6" x14ac:dyDescent="0.3">
      <c r="B53" s="21" t="e">
        <f>AVERAGE('MINGALA_Cleaned Data'!PM:PM)</f>
        <v>#DIV/0!</v>
      </c>
    </row>
    <row r="54" spans="1:6" x14ac:dyDescent="0.3">
      <c r="B54" s="21"/>
      <c r="F54" s="74" t="s">
        <v>3330</v>
      </c>
    </row>
    <row r="55" spans="1:6" x14ac:dyDescent="0.3">
      <c r="B55" s="18" t="s">
        <v>1414</v>
      </c>
    </row>
    <row r="56" spans="1:6" x14ac:dyDescent="0.3">
      <c r="B56" s="3"/>
      <c r="C56" s="11" t="s">
        <v>1210</v>
      </c>
      <c r="D56" s="11" t="s">
        <v>1209</v>
      </c>
      <c r="E56" s="110" t="s">
        <v>1206</v>
      </c>
    </row>
    <row r="57" spans="1:6" x14ac:dyDescent="0.3">
      <c r="B57" s="3" t="s">
        <v>1207</v>
      </c>
      <c r="C57" s="3">
        <f>COUNTIF('MINGALA_Cleaned Data'!PN:PN,"oui")</f>
        <v>0</v>
      </c>
      <c r="D57" s="3">
        <f>COUNTIF('MINGALA_Cleaned Data'!PN:PN,"non")</f>
        <v>0</v>
      </c>
      <c r="E57" s="111">
        <f>SUM(C57:D57)</f>
        <v>0</v>
      </c>
    </row>
    <row r="58" spans="1:6" ht="37.5" x14ac:dyDescent="0.3">
      <c r="B58" s="53" t="s">
        <v>3296</v>
      </c>
      <c r="C58" s="7" t="e">
        <f>(C57/$B$49)</f>
        <v>#DIV/0!</v>
      </c>
      <c r="D58" s="7" t="e">
        <f>(D57/$B$49)</f>
        <v>#DIV/0!</v>
      </c>
      <c r="E58" s="116" t="e">
        <f>SUM(C58:D58)</f>
        <v>#DIV/0!</v>
      </c>
    </row>
    <row r="60" spans="1:6" x14ac:dyDescent="0.3">
      <c r="C60" s="18" t="s">
        <v>1416</v>
      </c>
      <c r="D60" s="18"/>
      <c r="E60" s="21" t="e">
        <f>AVERAGE('MINGALA_Cleaned Data'!PO:PO)</f>
        <v>#DIV/0!</v>
      </c>
      <c r="F60" s="74"/>
    </row>
    <row r="61" spans="1:6" x14ac:dyDescent="0.3">
      <c r="C61" s="18"/>
      <c r="D61" s="18"/>
    </row>
    <row r="62" spans="1:6" x14ac:dyDescent="0.3">
      <c r="C62" s="18" t="s">
        <v>1415</v>
      </c>
      <c r="D62" s="18"/>
      <c r="E62" s="21" t="e">
        <f>AVERAGE('MINGALA_Cleaned Data'!PP:PP)</f>
        <v>#DIV/0!</v>
      </c>
      <c r="F62" s="74"/>
    </row>
    <row r="64" spans="1:6" x14ac:dyDescent="0.3">
      <c r="B64" s="18" t="s">
        <v>1417</v>
      </c>
    </row>
    <row r="65" spans="1:8" x14ac:dyDescent="0.3">
      <c r="B65" s="3"/>
      <c r="C65" s="11" t="s">
        <v>1210</v>
      </c>
      <c r="D65" s="11" t="s">
        <v>1209</v>
      </c>
      <c r="E65" s="110" t="s">
        <v>1206</v>
      </c>
    </row>
    <row r="66" spans="1:8" x14ac:dyDescent="0.3">
      <c r="B66" s="3" t="s">
        <v>1207</v>
      </c>
      <c r="C66" s="3">
        <f>COUNTIF('MINGALA_Cleaned Data'!PQ:PQ,"oui")</f>
        <v>0</v>
      </c>
      <c r="D66" s="3">
        <f>COUNTIF('MINGALA_Cleaned Data'!PQ:PQ,"non")</f>
        <v>0</v>
      </c>
      <c r="E66" s="111">
        <f>SUM(C66:D66)</f>
        <v>0</v>
      </c>
    </row>
    <row r="67" spans="1:8" ht="37.5" x14ac:dyDescent="0.3">
      <c r="B67" s="53" t="s">
        <v>3296</v>
      </c>
      <c r="C67" s="7" t="e">
        <f>(C66/$B$49)</f>
        <v>#DIV/0!</v>
      </c>
      <c r="D67" s="7" t="e">
        <f>(D66/$B$49)</f>
        <v>#DIV/0!</v>
      </c>
      <c r="E67" s="116" t="e">
        <f>SUM(C67:D67)</f>
        <v>#DIV/0!</v>
      </c>
    </row>
    <row r="69" spans="1:8" ht="15.5" x14ac:dyDescent="0.35">
      <c r="A69" s="29" t="s">
        <v>1418</v>
      </c>
    </row>
    <row r="70" spans="1:8" x14ac:dyDescent="0.3">
      <c r="A70" s="3"/>
      <c r="B70" s="8" t="s">
        <v>1210</v>
      </c>
      <c r="C70" s="8" t="s">
        <v>1209</v>
      </c>
      <c r="D70" s="110" t="s">
        <v>1206</v>
      </c>
    </row>
    <row r="71" spans="1:8" x14ac:dyDescent="0.3">
      <c r="A71" s="3" t="s">
        <v>1207</v>
      </c>
      <c r="B71" s="3">
        <f>COUNTIF('MINGALA_Cleaned Data'!PR:PR,"oui")</f>
        <v>0</v>
      </c>
      <c r="C71" s="3">
        <f>COUNTIF('MINGALA_Cleaned Data'!PR:PR,"non")</f>
        <v>1</v>
      </c>
      <c r="D71" s="111">
        <f>SUM(B71:C71)</f>
        <v>1</v>
      </c>
    </row>
    <row r="72" spans="1:8" s="36" customFormat="1" ht="37" x14ac:dyDescent="0.3">
      <c r="A72" s="54" t="s">
        <v>3290</v>
      </c>
      <c r="B72" s="94">
        <f>(B71/$E$9)</f>
        <v>0</v>
      </c>
      <c r="C72" s="94">
        <f>(C71/$E$9)</f>
        <v>1</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COUNTIF('MINGALA_Cleaned Data'!PS:PS,"acces_direct")</f>
        <v>0</v>
      </c>
      <c r="D76" s="3">
        <f>COUNTIF('MINGALA_Cleaned Data'!PS:PS,"acces_communautaire")</f>
        <v>0</v>
      </c>
      <c r="E76" s="3">
        <f>COUNTIF('MINGALA_Cleaned Data'!PS:PS,"camion")</f>
        <v>0</v>
      </c>
      <c r="F76" s="3">
        <f>COUNTIF('MINGALA_Cleaned Data'!PS:PS,"nsp")</f>
        <v>0</v>
      </c>
      <c r="G76" s="3">
        <f>COUNTIF('MINGALA_Cleaned Data'!PS:PS,"autre")</f>
        <v>0</v>
      </c>
      <c r="H76" s="111">
        <f>SUM(C76:G76)</f>
        <v>0</v>
      </c>
    </row>
    <row r="77" spans="1:8" ht="48.5" x14ac:dyDescent="0.3">
      <c r="B77" s="54" t="s">
        <v>3297</v>
      </c>
      <c r="C77" s="94" t="e">
        <f>C76/$B$71</f>
        <v>#DIV/0!</v>
      </c>
      <c r="D77" s="94" t="e">
        <f t="shared" ref="D77:G77" si="6">D76/$B$71</f>
        <v>#DIV/0!</v>
      </c>
      <c r="E77" s="94" t="e">
        <f t="shared" si="6"/>
        <v>#DIV/0!</v>
      </c>
      <c r="F77" s="94" t="e">
        <f t="shared" si="6"/>
        <v>#DIV/0!</v>
      </c>
      <c r="G77" s="94" t="e">
        <f t="shared" si="6"/>
        <v>#DIV/0!</v>
      </c>
      <c r="H77" s="116" t="e">
        <f>SUM(C77:G77)</f>
        <v>#DIV/0!</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COUNTIF('MINGALA_Cleaned Data'!PU:PU,"oui")</f>
        <v>0</v>
      </c>
      <c r="C81" s="3">
        <f>COUNTIF('MINGALA_Cleaned Data'!PU:PU,"non")</f>
        <v>1</v>
      </c>
      <c r="D81" s="111">
        <f>SUM(B81:C81)</f>
        <v>1</v>
      </c>
    </row>
    <row r="82" spans="1:14" s="36" customFormat="1" ht="37" x14ac:dyDescent="0.3">
      <c r="A82" s="54" t="s">
        <v>3290</v>
      </c>
      <c r="B82" s="94">
        <f>(B81/$E$9)</f>
        <v>0</v>
      </c>
      <c r="C82" s="94">
        <f>(C81/$E$9)</f>
        <v>1</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COUNTIF('MINGALA_Cleaned Data'!PV:PV,"oui")</f>
        <v>0</v>
      </c>
      <c r="D86" s="3">
        <f>COUNTIF('MINGALA_Cleaned Data'!PV:PV,"non_panne")</f>
        <v>0</v>
      </c>
      <c r="E86" s="3">
        <f>COUNTIF('MINGALA_Cleaned Data'!PV:PV,"non_essence")</f>
        <v>0</v>
      </c>
      <c r="F86" s="3">
        <f>COUNTIF('MINGALA_Cleaned Data'!PV:PV,"non_equipement")</f>
        <v>0</v>
      </c>
      <c r="G86" s="111">
        <f>SUM(C86:F86)</f>
        <v>0</v>
      </c>
    </row>
    <row r="87" spans="1:14" ht="37" x14ac:dyDescent="0.3">
      <c r="B87" s="54" t="s">
        <v>3298</v>
      </c>
      <c r="C87" s="94" t="e">
        <f>(C86/$B$81)</f>
        <v>#DIV/0!</v>
      </c>
      <c r="D87" s="94" t="e">
        <f t="shared" ref="D87:F87" si="7">(D86/$B$81)</f>
        <v>#DIV/0!</v>
      </c>
      <c r="E87" s="94" t="e">
        <f t="shared" si="7"/>
        <v>#DIV/0!</v>
      </c>
      <c r="F87" s="94" t="e">
        <f t="shared" si="7"/>
        <v>#DIV/0!</v>
      </c>
      <c r="G87" s="100" t="e">
        <f>SUM(C87:F87)</f>
        <v>#DIV/0!</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COUNTIF('MINGALA_Cleaned Data'!QA:QA,"1")</f>
        <v>0</v>
      </c>
      <c r="C92" s="3">
        <f>COUNTIF('MINGALA_Cleaned Data'!QN:QN,"1")</f>
        <v>0</v>
      </c>
      <c r="D92" s="3">
        <f>COUNTIF('MINGALA_Cleaned Data'!QB:QB,"1")</f>
        <v>0</v>
      </c>
      <c r="E92" s="3">
        <f>COUNTIF('MINGALA_Cleaned Data'!QC:QC,"1")</f>
        <v>1</v>
      </c>
      <c r="F92" s="3">
        <f>COUNTIF('MINGALA_Cleaned Data'!QD:QD,"1")</f>
        <v>0</v>
      </c>
      <c r="G92" s="3">
        <f>COUNTIF('MINGALA_Cleaned Data'!QE:QE,"1")</f>
        <v>0</v>
      </c>
      <c r="H92" s="3">
        <f>COUNTIF('MINGALA_Cleaned Data'!QF:QF,"1")</f>
        <v>1</v>
      </c>
      <c r="I92" s="3">
        <f>COUNTIF('MINGALA_Cleaned Data'!QG:QG,"1")</f>
        <v>0</v>
      </c>
      <c r="J92" s="3">
        <f>COUNTIF('MINGALA_Cleaned Data'!QH:QH,"1")</f>
        <v>1</v>
      </c>
      <c r="K92" s="3">
        <f>COUNTIF('MINGALA_Cleaned Data'!QJ:QJ,"1")</f>
        <v>0</v>
      </c>
      <c r="L92" s="3">
        <f>COUNTIF('MINGALA_Cleaned Data'!QK:QK,"1")</f>
        <v>0</v>
      </c>
      <c r="M92" s="3">
        <f>COUNTIF('MINGALA_Cleaned Data'!QL:QL,"1")</f>
        <v>0</v>
      </c>
      <c r="N92" s="3">
        <f>COUNTIF('MINGALA_Cleaned Data'!QM:QM,"1")</f>
        <v>1</v>
      </c>
    </row>
    <row r="93" spans="1:14" s="36" customFormat="1" ht="37" x14ac:dyDescent="0.35">
      <c r="A93" s="54" t="s">
        <v>3301</v>
      </c>
      <c r="B93" s="55">
        <f t="shared" ref="B93:N93" si="8">(B92/$E$9)</f>
        <v>0</v>
      </c>
      <c r="C93" s="55">
        <f t="shared" si="8"/>
        <v>0</v>
      </c>
      <c r="D93" s="55">
        <f t="shared" si="8"/>
        <v>0</v>
      </c>
      <c r="E93" s="55">
        <f t="shared" si="8"/>
        <v>1</v>
      </c>
      <c r="F93" s="55">
        <f t="shared" si="8"/>
        <v>0</v>
      </c>
      <c r="G93" s="55">
        <f t="shared" si="8"/>
        <v>0</v>
      </c>
      <c r="H93" s="55">
        <f t="shared" si="8"/>
        <v>1</v>
      </c>
      <c r="I93" s="55">
        <f t="shared" si="8"/>
        <v>0</v>
      </c>
      <c r="J93" s="55">
        <f t="shared" si="8"/>
        <v>1</v>
      </c>
      <c r="K93" s="55">
        <f t="shared" si="8"/>
        <v>0</v>
      </c>
      <c r="L93" s="55">
        <f t="shared" si="8"/>
        <v>0</v>
      </c>
      <c r="M93" s="55">
        <f t="shared" si="8"/>
        <v>0</v>
      </c>
      <c r="N93" s="55">
        <f t="shared" si="8"/>
        <v>1</v>
      </c>
    </row>
    <row r="94" spans="1:14" x14ac:dyDescent="0.3">
      <c r="A94" s="14"/>
      <c r="B94" s="14"/>
      <c r="C94" s="14"/>
      <c r="D94" s="14"/>
      <c r="E94" s="14"/>
      <c r="F94" s="14"/>
      <c r="G94" s="14"/>
      <c r="H94" s="14"/>
      <c r="I94" s="14"/>
      <c r="J94" s="14"/>
      <c r="K94" s="14"/>
      <c r="L94" s="14"/>
      <c r="M94" s="14"/>
      <c r="N94" s="148" t="s">
        <v>3392</v>
      </c>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COUNTIF('MINGALA_Cleaned Data'!TB:TB,"oui")</f>
        <v>0</v>
      </c>
      <c r="C97" s="3">
        <f>COUNTIF('MINGALA_Cleaned Data'!TB:TB,"oui_exception")</f>
        <v>0</v>
      </c>
      <c r="D97" s="3">
        <f>COUNTIF('MINGALA_Cleaned Data'!TB:TB,"non")</f>
        <v>1</v>
      </c>
      <c r="E97" s="111">
        <f>SUM(B97:D97)</f>
        <v>1</v>
      </c>
      <c r="F97" s="14"/>
      <c r="G97" s="14"/>
      <c r="H97" s="14"/>
      <c r="I97" s="14"/>
      <c r="J97" s="14"/>
      <c r="K97" s="14"/>
      <c r="L97" s="14"/>
      <c r="M97" s="14"/>
    </row>
    <row r="98" spans="1:13" s="36" customFormat="1" ht="37" x14ac:dyDescent="0.3">
      <c r="A98" s="54" t="s">
        <v>3301</v>
      </c>
      <c r="B98" s="120">
        <f>(B97/$E$9)</f>
        <v>0</v>
      </c>
      <c r="C98" s="120">
        <f t="shared" ref="C98:D98" si="9">(C97/$E$9)</f>
        <v>0</v>
      </c>
      <c r="D98" s="120">
        <f t="shared" si="9"/>
        <v>1</v>
      </c>
      <c r="E98" s="100">
        <f>SUM(B98:D98)</f>
        <v>1</v>
      </c>
      <c r="F98" s="47"/>
      <c r="G98" s="47"/>
      <c r="H98" s="47"/>
      <c r="I98" s="47"/>
      <c r="J98" s="47"/>
      <c r="K98" s="47"/>
      <c r="L98" s="47"/>
      <c r="M98" s="47"/>
    </row>
    <row r="99" spans="1:13" x14ac:dyDescent="0.3">
      <c r="A99" s="14"/>
      <c r="B99" s="15"/>
      <c r="C99" s="87"/>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COUNTIF('MINGALA_Cleaned Data'!TJ:TJ,"oui")</f>
        <v>0</v>
      </c>
      <c r="D103" s="3">
        <f>COUNTIF('MINGALA_Cleaned Data'!TJ:TJ,"non")</f>
        <v>1</v>
      </c>
      <c r="E103" s="111">
        <f>SUM(C103:D103)</f>
        <v>1</v>
      </c>
      <c r="F103" s="76" t="s">
        <v>3300</v>
      </c>
      <c r="G103" s="14"/>
      <c r="H103" s="14"/>
      <c r="I103" s="14"/>
      <c r="J103" s="14"/>
      <c r="K103" s="14"/>
      <c r="L103" s="14"/>
      <c r="M103" s="14"/>
    </row>
    <row r="104" spans="1:13" ht="40.5" customHeight="1" x14ac:dyDescent="0.3">
      <c r="A104" s="14"/>
      <c r="B104" s="121" t="s">
        <v>3302</v>
      </c>
      <c r="C104" s="39" t="e">
        <f>(C103/($B$97+$C$97))</f>
        <v>#DIV/0!</v>
      </c>
      <c r="D104" s="39" t="e">
        <f>(D103/($B$97+$C$97))</f>
        <v>#DIV/0!</v>
      </c>
      <c r="E104" s="100" t="e">
        <f>SUM(C104:D104)</f>
        <v>#DIV/0!</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8">
        <f>COUNTIF('MINGALA_Cleaned Data'!TK:TK,"bcp_diminue")</f>
        <v>0</v>
      </c>
      <c r="E108" s="38">
        <f>COUNTIF('MINGALA_Cleaned Data'!TK:TK,"peu_diminue")</f>
        <v>0</v>
      </c>
      <c r="F108" s="38">
        <f>COUNTIF('MINGALA_Cleaned Data'!TK:TK,"bcp_augmente")</f>
        <v>0</v>
      </c>
      <c r="G108" s="38">
        <f>COUNTIF('MINGALA_Cleaned Data'!TK:TK,"peu_augmente")</f>
        <v>0</v>
      </c>
      <c r="J108" s="14"/>
      <c r="K108" s="76"/>
      <c r="L108" s="14"/>
      <c r="M108" s="14"/>
    </row>
    <row r="109" spans="1:13" ht="60.5" x14ac:dyDescent="0.3">
      <c r="A109" s="14"/>
      <c r="B109" s="15"/>
      <c r="C109" s="121" t="s">
        <v>3302</v>
      </c>
      <c r="D109" s="39" t="e">
        <f>(D108/$C$103)</f>
        <v>#DIV/0!</v>
      </c>
      <c r="E109" s="39" t="e">
        <f>(E108/$C$103)</f>
        <v>#DIV/0!</v>
      </c>
      <c r="F109" s="39" t="e">
        <f>(F108/$C$103)</f>
        <v>#DIV/0!</v>
      </c>
      <c r="G109" s="39" t="e">
        <f>(G108/$C$103)</f>
        <v>#DIV/0!</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COUNTIF('MINGALA_Cleaned Data'!TW:TW,"1")</f>
        <v>0</v>
      </c>
      <c r="E113" s="24">
        <f>COUNTIF('MINGALA_Cleaned Data'!TX:TX,"1")</f>
        <v>0</v>
      </c>
      <c r="F113" s="24">
        <f>COUNTIF('MINGALA_Cleaned Data'!TY:TY,"1")</f>
        <v>0</v>
      </c>
      <c r="G113" s="24">
        <f>COUNTIF('MINGALA_Cleaned Data'!TZ:TZ,"1")</f>
        <v>0</v>
      </c>
      <c r="H113" s="24">
        <f>COUNTIF('MINGALA_Cleaned Data'!UA:UA,"1")</f>
        <v>0</v>
      </c>
      <c r="I113" s="24">
        <f>COUNTIF('MINGALA_Cleaned Data'!UB:UB,"1")</f>
        <v>0</v>
      </c>
      <c r="J113" s="24">
        <f>COUNTIF('MINGALA_Cleaned Data'!UC:UC,"1")</f>
        <v>0</v>
      </c>
      <c r="K113" s="24">
        <f>COUNTIF('MINGALA_Cleaned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COUNTIF('MINGALA_Cleaned Data'!TM:TM,"1")</f>
        <v>0</v>
      </c>
      <c r="E118" s="24">
        <f>COUNTIF('MINGALA_Cleaned Data'!TN:TN,"1")</f>
        <v>0</v>
      </c>
      <c r="F118" s="24">
        <f>COUNTIF('MINGALA_Cleaned Data'!TO:TO,"1")</f>
        <v>0</v>
      </c>
      <c r="G118" s="24">
        <f>COUNTIF('MINGALA_Cleaned Data'!TP:TP,"1")</f>
        <v>0</v>
      </c>
      <c r="H118" s="24">
        <f>COUNTIF('MINGALA_Cleaned Data'!TQ:TQ,"1")</f>
        <v>0</v>
      </c>
      <c r="I118" s="24">
        <f>COUNTIF('MINGALA_Cleaned Data'!TR:TR,"1")</f>
        <v>0</v>
      </c>
      <c r="J118" s="24">
        <f>COUNTIF('MINGALA_Cleaned Data'!TS:TS,"1")</f>
        <v>0</v>
      </c>
      <c r="K118" s="24">
        <f>COUNTIF('MINGALA_Cleaned Data'!TT:TT,"1")</f>
        <v>0</v>
      </c>
      <c r="L118" s="14"/>
      <c r="M118" s="14"/>
    </row>
    <row r="119" spans="1:13" ht="60.5" x14ac:dyDescent="0.3">
      <c r="A119" s="14"/>
      <c r="B119" s="15"/>
      <c r="C119" s="121" t="s">
        <v>3304</v>
      </c>
      <c r="D119" s="39" t="e">
        <f>D118/(F108+G108)</f>
        <v>#DIV/0!</v>
      </c>
      <c r="E119" s="39" t="e">
        <f>E118/(F108+G108)</f>
        <v>#DIV/0!</v>
      </c>
      <c r="F119" s="39" t="e">
        <f>F118/(F108+G108)</f>
        <v>#DIV/0!</v>
      </c>
      <c r="G119" s="39" t="e">
        <f>G118/(F108+G108)</f>
        <v>#DIV/0!</v>
      </c>
      <c r="H119" s="39" t="e">
        <f>H118/(F108+G108)</f>
        <v>#DIV/0!</v>
      </c>
      <c r="I119" s="39" t="e">
        <f>I118/(F108+G108)</f>
        <v>#DIV/0!</v>
      </c>
      <c r="J119" s="39" t="e">
        <f>J118/(F108+G108)</f>
        <v>#DIV/0!</v>
      </c>
      <c r="K119" s="39" t="e">
        <f>K118/(F108+G108)</f>
        <v>#DIV/0!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COUNTIF('MINGALA_Cleaned Data'!QR:QR,"1")</f>
        <v>1</v>
      </c>
      <c r="C123" s="3">
        <f>COUNTIF('MINGALA_Cleaned Data'!QS:QS,"1")</f>
        <v>1</v>
      </c>
      <c r="D123" s="3">
        <f>COUNTIF('MINGALA_Cleaned Data'!QV:QV,"1")</f>
        <v>1</v>
      </c>
      <c r="E123" s="3">
        <f>COUNTIF('MINGALA_Cleaned Data'!QW:QW,"1")</f>
        <v>1</v>
      </c>
      <c r="F123" s="3">
        <f>COUNTIF('MINGALA_Cleaned Data'!QT:QT,"1")</f>
        <v>0</v>
      </c>
      <c r="G123" s="3">
        <f>COUNTIF('MINGALA_Cleaned Data'!QU:QU,"1")</f>
        <v>0</v>
      </c>
    </row>
    <row r="124" spans="1:13" s="36" customFormat="1" ht="37" x14ac:dyDescent="0.3">
      <c r="A124" s="54" t="s">
        <v>3301</v>
      </c>
      <c r="B124" s="94">
        <f>B123/$E$9</f>
        <v>1</v>
      </c>
      <c r="C124" s="94">
        <f t="shared" ref="C124:G124" si="10">C123/$E$9</f>
        <v>1</v>
      </c>
      <c r="D124" s="94">
        <f t="shared" si="10"/>
        <v>1</v>
      </c>
      <c r="E124" s="94">
        <f t="shared" si="10"/>
        <v>1</v>
      </c>
      <c r="F124" s="94">
        <f t="shared" si="10"/>
        <v>0</v>
      </c>
      <c r="G124" s="94">
        <f t="shared" si="10"/>
        <v>0</v>
      </c>
    </row>
    <row r="125" spans="1:13" x14ac:dyDescent="0.3">
      <c r="G125" s="122"/>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COUNTIF('MINGALA_Cleaned Data'!QY:QY,"oui")</f>
        <v>0</v>
      </c>
      <c r="C129" s="3">
        <f>COUNTIF('MINGALA_Cleaned Data'!QY:QY,"non")</f>
        <v>1</v>
      </c>
      <c r="D129" s="111">
        <f>SUM(B129:C129)</f>
        <v>1</v>
      </c>
    </row>
    <row r="130" spans="1:6" s="36" customFormat="1" ht="37" x14ac:dyDescent="0.3">
      <c r="A130" s="54" t="s">
        <v>3301</v>
      </c>
      <c r="B130" s="94">
        <f>(B129/$E$9)</f>
        <v>0</v>
      </c>
      <c r="C130" s="94">
        <f>(C129/$E$9)</f>
        <v>1</v>
      </c>
      <c r="D130" s="100">
        <f>SUM(B130:C130)</f>
        <v>1</v>
      </c>
    </row>
    <row r="132" spans="1:6" x14ac:dyDescent="0.3">
      <c r="B132" s="18" t="s">
        <v>1435</v>
      </c>
      <c r="D132" s="103" t="s">
        <v>3245</v>
      </c>
      <c r="E132" s="21"/>
    </row>
    <row r="133" spans="1:6" ht="28" x14ac:dyDescent="0.3">
      <c r="B133" s="6" t="s">
        <v>1436</v>
      </c>
      <c r="C133" s="6" t="s">
        <v>1437</v>
      </c>
      <c r="D133" s="6" t="s">
        <v>1438</v>
      </c>
      <c r="E133" s="6" t="s">
        <v>3259</v>
      </c>
      <c r="F133" s="6" t="s">
        <v>1205</v>
      </c>
    </row>
    <row r="134" spans="1:6" x14ac:dyDescent="0.3">
      <c r="B134" s="3">
        <f>COUNTIF('MINGALA_Cleaned Data'!RA:RA,"1")</f>
        <v>0</v>
      </c>
      <c r="C134" s="3">
        <f>COUNTIF('MINGALA_Cleaned Data'!RB:RB,"1")</f>
        <v>0</v>
      </c>
      <c r="D134" s="3">
        <f>COUNTIF('MINGALA_Cleaned Data'!RC:RC,"1")</f>
        <v>0</v>
      </c>
      <c r="E134" s="3">
        <f>COUNTIF('MINGALA_Cleaned Data'!RD:RD,"1")</f>
        <v>0</v>
      </c>
      <c r="F134" s="3">
        <f>COUNTIF('MINGALA_Cleaned Data'!RE:RE,"1")</f>
        <v>0</v>
      </c>
    </row>
    <row r="137" spans="1:6" x14ac:dyDescent="0.3">
      <c r="A137" s="21" t="s">
        <v>1302</v>
      </c>
    </row>
    <row r="138" spans="1:6" ht="33.5" customHeight="1" x14ac:dyDescent="0.3">
      <c r="A138" s="154" t="s">
        <v>1439</v>
      </c>
      <c r="B138" s="154"/>
      <c r="C138" s="154"/>
      <c r="D138" s="154"/>
      <c r="E138" s="44">
        <f>AVERAGE('MINGALA_Cleaned Data'!RG:RG)</f>
        <v>60</v>
      </c>
    </row>
    <row r="140" spans="1:6" ht="15.5" x14ac:dyDescent="0.35">
      <c r="A140" s="29" t="s">
        <v>1440</v>
      </c>
    </row>
    <row r="141" spans="1:6" x14ac:dyDescent="0.3">
      <c r="A141" s="3"/>
      <c r="B141" s="8" t="s">
        <v>1210</v>
      </c>
      <c r="C141" s="8" t="s">
        <v>1209</v>
      </c>
      <c r="D141" s="110" t="s">
        <v>1206</v>
      </c>
    </row>
    <row r="142" spans="1:6" x14ac:dyDescent="0.3">
      <c r="A142" s="3" t="s">
        <v>1207</v>
      </c>
      <c r="B142" s="3">
        <f>COUNTIF('MINGALA_Cleaned Data'!RH:RH,"oui")</f>
        <v>1</v>
      </c>
      <c r="C142" s="3">
        <f>COUNTIF('MINGALA_Cleaned Data'!RH:RH,"non")</f>
        <v>0</v>
      </c>
      <c r="D142" s="111">
        <f>SUM(B142:C142)</f>
        <v>1</v>
      </c>
    </row>
    <row r="143" spans="1:6" s="36" customFormat="1" ht="37" x14ac:dyDescent="0.3">
      <c r="A143" s="54" t="s">
        <v>3301</v>
      </c>
      <c r="B143" s="94">
        <f>(B142/$E$9)</f>
        <v>1</v>
      </c>
      <c r="C143" s="94">
        <f>(C142/$E$9)</f>
        <v>0</v>
      </c>
      <c r="D143" s="100">
        <f>SUM(B143:C143)</f>
        <v>1</v>
      </c>
    </row>
    <row r="145" spans="1:13" x14ac:dyDescent="0.3">
      <c r="B145" s="18" t="s">
        <v>1441</v>
      </c>
    </row>
    <row r="146" spans="1:13" ht="28" x14ac:dyDescent="0.3">
      <c r="B146" s="3"/>
      <c r="C146" s="12" t="s">
        <v>1226</v>
      </c>
      <c r="D146" s="12" t="s">
        <v>1405</v>
      </c>
      <c r="E146" s="12" t="s">
        <v>1225</v>
      </c>
      <c r="F146" s="12" t="s">
        <v>1404</v>
      </c>
      <c r="G146" s="110" t="s">
        <v>1206</v>
      </c>
    </row>
    <row r="147" spans="1:13" x14ac:dyDescent="0.3">
      <c r="B147" s="3" t="s">
        <v>1207</v>
      </c>
      <c r="C147" s="3">
        <f>COUNTIF('MINGALA_Cleaned Data'!RI:RI,"bcp_diminue")</f>
        <v>0</v>
      </c>
      <c r="D147" s="3">
        <f>COUNTIF('MINGALA_Cleaned Data'!RI:RI,"peu_diminue")</f>
        <v>0</v>
      </c>
      <c r="E147" s="3">
        <f>COUNTIF('MINGALA_Cleaned Data'!RI:RI,"bcp_augmente")</f>
        <v>1</v>
      </c>
      <c r="F147" s="3">
        <f>COUNTIF('MINGALA_Cleaned Data'!RI:RI,"peu_augmente")</f>
        <v>0</v>
      </c>
      <c r="G147" s="111">
        <f>SUM(C147:F147)</f>
        <v>1</v>
      </c>
    </row>
    <row r="148" spans="1:13" ht="49" x14ac:dyDescent="0.3">
      <c r="B148" s="53" t="s">
        <v>3306</v>
      </c>
      <c r="C148" s="7">
        <f>(C147/$B$142)</f>
        <v>0</v>
      </c>
      <c r="D148" s="7">
        <f>(D147/$B$142)</f>
        <v>0</v>
      </c>
      <c r="E148" s="7">
        <f>(E147/$B$142)</f>
        <v>1</v>
      </c>
      <c r="F148" s="7">
        <f>(F147/$B$142)</f>
        <v>0</v>
      </c>
      <c r="G148" s="100">
        <f>SUM(C148:F148)</f>
        <v>1</v>
      </c>
    </row>
    <row r="150" spans="1:13" x14ac:dyDescent="0.3">
      <c r="C150" s="18" t="s">
        <v>1310</v>
      </c>
      <c r="E150" s="103" t="s">
        <v>3245</v>
      </c>
    </row>
    <row r="151" spans="1:13"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3" x14ac:dyDescent="0.3">
      <c r="C152" s="3" t="s">
        <v>1207</v>
      </c>
      <c r="D152" s="3">
        <f>COUNTIF('MINGALA_Cleaned Data'!RW:RW,"1")</f>
        <v>0</v>
      </c>
      <c r="E152" s="3">
        <f>COUNTIF('MINGALA_Cleaned Data'!RX:RX,"1")</f>
        <v>0</v>
      </c>
      <c r="F152" s="3">
        <f>COUNTIF('MINGALA_Cleaned Data'!RY:RY,"1")</f>
        <v>0</v>
      </c>
      <c r="G152" s="3">
        <f>COUNTIF('MINGALA_Cleaned Data'!RZ:RZ,"1")</f>
        <v>0</v>
      </c>
      <c r="H152" s="3">
        <f>COUNTIF('MINGALA_Cleaned Data'!SA:SA,"1")</f>
        <v>0</v>
      </c>
      <c r="I152" s="3">
        <f>COUNTIF('MINGALA_Cleaned Data'!SB:SB,"1")</f>
        <v>0</v>
      </c>
      <c r="J152" s="3">
        <f>COUNTIF('MINGALA_Cleaned Data'!SC:SC,"1")</f>
        <v>0</v>
      </c>
    </row>
    <row r="153" spans="1:13" ht="49" x14ac:dyDescent="0.3">
      <c r="C153" s="53" t="s">
        <v>3307</v>
      </c>
      <c r="D153" s="78" t="e">
        <f>D152/(C147+D147)</f>
        <v>#DIV/0!</v>
      </c>
      <c r="E153" s="78" t="e">
        <f>E152/(C147+D147)</f>
        <v>#DIV/0!</v>
      </c>
      <c r="F153" s="78" t="e">
        <f>F152/(C147+D147)</f>
        <v>#DIV/0!</v>
      </c>
      <c r="G153" s="78" t="e">
        <f>G152/(C147+D147)</f>
        <v>#DIV/0!</v>
      </c>
      <c r="H153" s="78" t="e">
        <f>H152/(C147+D147)</f>
        <v>#DIV/0!</v>
      </c>
      <c r="I153" s="78" t="e">
        <f>I152/(C147+D147)</f>
        <v>#DIV/0!</v>
      </c>
      <c r="J153" s="78" t="e">
        <f>J152/(C147+D147)</f>
        <v>#DIV/0!</v>
      </c>
    </row>
    <row r="154" spans="1:13" x14ac:dyDescent="0.3">
      <c r="C154" s="14"/>
      <c r="D154" s="14"/>
      <c r="E154" s="14"/>
      <c r="F154" s="14"/>
      <c r="G154" s="14"/>
      <c r="H154" s="14"/>
      <c r="I154" s="14"/>
      <c r="J154" s="14"/>
    </row>
    <row r="155" spans="1:13" x14ac:dyDescent="0.3">
      <c r="C155" s="18" t="s">
        <v>1227</v>
      </c>
      <c r="E155" s="103" t="s">
        <v>3245</v>
      </c>
    </row>
    <row r="156" spans="1:13" s="36" customFormat="1" ht="73.5" customHeight="1" x14ac:dyDescent="0.3">
      <c r="C156" s="3"/>
      <c r="D156" s="11" t="s">
        <v>1228</v>
      </c>
      <c r="E156" s="11" t="s">
        <v>2340</v>
      </c>
      <c r="F156" s="11" t="s">
        <v>1442</v>
      </c>
      <c r="G156" s="11" t="s">
        <v>1443</v>
      </c>
      <c r="H156" s="11" t="s">
        <v>1444</v>
      </c>
      <c r="I156" s="11" t="s">
        <v>1445</v>
      </c>
      <c r="J156" s="11" t="s">
        <v>1446</v>
      </c>
      <c r="K156" s="11" t="s">
        <v>1447</v>
      </c>
      <c r="L156" s="11" t="s">
        <v>1905</v>
      </c>
      <c r="M156" s="11" t="s">
        <v>1220</v>
      </c>
    </row>
    <row r="157" spans="1:13" x14ac:dyDescent="0.3">
      <c r="C157" s="3" t="s">
        <v>1207</v>
      </c>
      <c r="D157" s="3">
        <f>COUNTIF('MINGALA_Cleaned Data'!RK:RK,"1")</f>
        <v>0</v>
      </c>
      <c r="E157" s="3">
        <f>COUNTIF('MINGALA_Cleaned Data'!RL:RL,"1")</f>
        <v>0</v>
      </c>
      <c r="F157" s="3">
        <f>COUNTIF('MINGALA_Cleaned Data'!RM:RM,"1")</f>
        <v>0</v>
      </c>
      <c r="G157" s="3">
        <f>COUNTIF('MINGALA_Cleaned Data'!RN:RN,"1")</f>
        <v>0</v>
      </c>
      <c r="H157" s="3">
        <f>COUNTIF('MINGALA_Cleaned Data'!RO:RO,"1")</f>
        <v>1</v>
      </c>
      <c r="I157" s="3">
        <f>COUNTIF('MINGALA_Cleaned Data'!RP:RP,"1")</f>
        <v>0</v>
      </c>
      <c r="J157" s="3">
        <f>COUNTIF('MINGALA_Cleaned Data'!RQ:RQ,"1")</f>
        <v>0</v>
      </c>
      <c r="K157" s="3">
        <f>COUNTIF('MINGALA_Cleaned Data'!RR:RR,"1")</f>
        <v>1</v>
      </c>
      <c r="L157" s="3">
        <f>COUNTIF('MINGALA_Cleaned Data'!RS:RS,"1")</f>
        <v>0</v>
      </c>
      <c r="M157" s="3">
        <f>COUNTIF('MINGALA_Cleaned Data'!RT:RT,"1")</f>
        <v>0</v>
      </c>
    </row>
    <row r="158" spans="1:13" ht="49" x14ac:dyDescent="0.3">
      <c r="C158" s="53" t="s">
        <v>3308</v>
      </c>
      <c r="D158" s="7">
        <f>D157/(E147+F147)</f>
        <v>0</v>
      </c>
      <c r="E158" s="7">
        <f>E157/(E147+F147)</f>
        <v>0</v>
      </c>
      <c r="F158" s="7">
        <f>F157/(E147+F147)</f>
        <v>0</v>
      </c>
      <c r="G158" s="7">
        <f>G157/(E147+F147)</f>
        <v>0</v>
      </c>
      <c r="H158" s="7">
        <f>H157/(E147+F147)</f>
        <v>1</v>
      </c>
      <c r="I158" s="7">
        <f>I157/(E147+F147)</f>
        <v>0</v>
      </c>
      <c r="J158" s="7">
        <f>J157/(E147+F147)</f>
        <v>0</v>
      </c>
      <c r="K158" s="7">
        <f>K157/(E147+F147)</f>
        <v>1</v>
      </c>
      <c r="L158" s="7">
        <f>L157/(E147+F147)</f>
        <v>0</v>
      </c>
      <c r="M158" s="7">
        <f>M157/(E147+F147)</f>
        <v>0</v>
      </c>
    </row>
    <row r="159" spans="1:13" x14ac:dyDescent="0.3">
      <c r="C159" s="50"/>
    </row>
    <row r="160" spans="1:13"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COUNTIF('MINGALA_Cleaned Data'!SE:SE,"fortement_sur:utilise")</f>
        <v>1</v>
      </c>
      <c r="C162" s="3">
        <f>COUNTIF('MINGALA_Cleaned Data'!SE:SE,"sur_utilise")</f>
        <v>0</v>
      </c>
      <c r="D162" s="3">
        <f>COUNTIF('MINGALA_Cleaned Data'!SE:SE,"ok")</f>
        <v>0</v>
      </c>
      <c r="E162" s="3">
        <f>COUNTIF('MINGALA_Cleaned Data'!SE:SE,"sous_utilise")</f>
        <v>0</v>
      </c>
      <c r="F162" s="3">
        <f>COUNTIF('MINGALA_Cleaned Data'!SE:SE,"fortement_sous_utilise")</f>
        <v>0</v>
      </c>
      <c r="G162" s="3">
        <f>COUNTIF('MINGALA_Cleaned Data'!SE:SE,"nsp")</f>
        <v>0</v>
      </c>
      <c r="H162" s="111">
        <f>SUM(B162:G162)</f>
        <v>1</v>
      </c>
    </row>
    <row r="163" spans="1:8" s="36" customFormat="1" ht="37" x14ac:dyDescent="0.3">
      <c r="A163" s="54" t="s">
        <v>3301</v>
      </c>
      <c r="B163" s="94">
        <f>B162/$E$9</f>
        <v>1</v>
      </c>
      <c r="C163" s="94">
        <f t="shared" ref="C163:G163" si="11">C162/$E$9</f>
        <v>0</v>
      </c>
      <c r="D163" s="94">
        <f t="shared" si="11"/>
        <v>0</v>
      </c>
      <c r="E163" s="94">
        <f t="shared" si="11"/>
        <v>0</v>
      </c>
      <c r="F163" s="94">
        <f t="shared" si="11"/>
        <v>0</v>
      </c>
      <c r="G163" s="94">
        <f t="shared" si="11"/>
        <v>0</v>
      </c>
      <c r="H163" s="100">
        <f>SUM(B163:G163)</f>
        <v>1</v>
      </c>
    </row>
    <row r="166" spans="1:8" ht="15.5" x14ac:dyDescent="0.3">
      <c r="A166" s="80" t="s">
        <v>1454</v>
      </c>
      <c r="E166" s="132">
        <f>AVERAGE('MINGALA_Cleaned Data'!SF:SF)</f>
        <v>9</v>
      </c>
    </row>
    <row r="167" spans="1:8" ht="15.5" x14ac:dyDescent="0.35">
      <c r="A167" s="79" t="s">
        <v>1455</v>
      </c>
      <c r="E167" s="21">
        <f>AVERAGE('MINGALA_Cleaned Data'!SG:SG)</f>
        <v>0</v>
      </c>
    </row>
    <row r="168" spans="1:8" ht="15.5" x14ac:dyDescent="0.35">
      <c r="A168" s="29" t="s">
        <v>1456</v>
      </c>
      <c r="E168" s="10">
        <f>AVERAGE('MINGALA_Cleaned Data'!SH:SH)</f>
        <v>1</v>
      </c>
    </row>
    <row r="169" spans="1:8" ht="15.5" x14ac:dyDescent="0.35">
      <c r="A169" s="29" t="s">
        <v>1457</v>
      </c>
      <c r="E169" s="10">
        <f>AVERAGE('MINGALA_Cleaned Data'!SI:SI)</f>
        <v>1</v>
      </c>
    </row>
    <row r="170" spans="1:8" ht="15.5" x14ac:dyDescent="0.35">
      <c r="A170" s="29" t="s">
        <v>1458</v>
      </c>
      <c r="E170" s="10">
        <f>AVERAGE('MINGALA_Cleaned Data'!SJ:SJ)</f>
        <v>0</v>
      </c>
    </row>
    <row r="171" spans="1:8" ht="15.5" x14ac:dyDescent="0.35">
      <c r="A171" s="29" t="s">
        <v>1459</v>
      </c>
      <c r="E171" s="10">
        <f>AVERAGE('MINGALA_Cleaned Data'!SK:SK)</f>
        <v>0</v>
      </c>
    </row>
    <row r="172" spans="1:8" ht="15.5" x14ac:dyDescent="0.35">
      <c r="A172" s="79" t="s">
        <v>1460</v>
      </c>
      <c r="B172" s="21"/>
      <c r="C172" s="21"/>
      <c r="D172" s="21"/>
      <c r="E172" s="21">
        <f>AVERAGE('MINGALA_Cleaned Data'!SL:SL)</f>
        <v>4</v>
      </c>
    </row>
    <row r="173" spans="1:8" ht="15.5" x14ac:dyDescent="0.35">
      <c r="A173" s="29" t="s">
        <v>1461</v>
      </c>
      <c r="E173" s="10">
        <f>AVERAGE('MINGALA_Cleaned Data'!SM:SM)</f>
        <v>0</v>
      </c>
    </row>
    <row r="174" spans="1:8" x14ac:dyDescent="0.3">
      <c r="A174" s="147" t="s">
        <v>3389</v>
      </c>
    </row>
    <row r="176" spans="1:8" ht="15.5" x14ac:dyDescent="0.35">
      <c r="A176" s="9" t="s">
        <v>1296</v>
      </c>
    </row>
    <row r="177" spans="1:8" ht="15.5" x14ac:dyDescent="0.35">
      <c r="A177" s="29" t="s">
        <v>1469</v>
      </c>
    </row>
    <row r="178" spans="1:8" x14ac:dyDescent="0.3">
      <c r="A178" s="3"/>
      <c r="B178" s="8" t="s">
        <v>1471</v>
      </c>
      <c r="C178" s="8" t="s">
        <v>1472</v>
      </c>
      <c r="D178" s="8" t="s">
        <v>1473</v>
      </c>
      <c r="E178" s="8" t="s">
        <v>1470</v>
      </c>
      <c r="F178" s="8" t="s">
        <v>3259</v>
      </c>
      <c r="G178" s="8" t="s">
        <v>1220</v>
      </c>
      <c r="H178" s="110" t="s">
        <v>1206</v>
      </c>
    </row>
    <row r="179" spans="1:8" x14ac:dyDescent="0.3">
      <c r="A179" s="3" t="s">
        <v>1207</v>
      </c>
      <c r="B179" s="3">
        <f>COUNTIF('MINGALA_Cleaned Data'!UM:UM,"public")</f>
        <v>1</v>
      </c>
      <c r="C179" s="3">
        <f>COUNTIF('MINGALA_Cleaned Data'!UM:UM,"prive")</f>
        <v>0</v>
      </c>
      <c r="D179" s="3">
        <f>COUNTIF('MINGALA_Cleaned Data'!UM:UM,"religieux")</f>
        <v>0</v>
      </c>
      <c r="E179" s="3">
        <f>COUNTIF('MINGALA_Cleaned Data'!UM:UM,"ong")</f>
        <v>0</v>
      </c>
      <c r="F179" s="3">
        <f>COUNTIF('MINGALA_Cleaned Data'!UM:UM,"nsp")</f>
        <v>0</v>
      </c>
      <c r="G179" s="123">
        <f>COUNTIF('MINGALA_Cleaned Data'!UM:UM,"autre")</f>
        <v>0</v>
      </c>
      <c r="H179" s="111">
        <f>SUM(B179:G179)</f>
        <v>1</v>
      </c>
    </row>
    <row r="180" spans="1:8" s="36" customFormat="1" ht="37" x14ac:dyDescent="0.3">
      <c r="A180" s="54" t="s">
        <v>3309</v>
      </c>
      <c r="B180" s="94">
        <f t="shared" ref="B180:G180" si="12">B179/$C$4</f>
        <v>1</v>
      </c>
      <c r="C180" s="94">
        <f t="shared" si="12"/>
        <v>0</v>
      </c>
      <c r="D180" s="94">
        <f t="shared" si="12"/>
        <v>0</v>
      </c>
      <c r="E180" s="94">
        <f t="shared" si="12"/>
        <v>0</v>
      </c>
      <c r="F180" s="94">
        <f t="shared" si="12"/>
        <v>0</v>
      </c>
      <c r="G180" s="94">
        <f t="shared" si="12"/>
        <v>0</v>
      </c>
      <c r="H180" s="100">
        <f>SUM(B180:G180)</f>
        <v>1</v>
      </c>
    </row>
    <row r="181" spans="1:8" x14ac:dyDescent="0.3">
      <c r="A181" s="14"/>
      <c r="B181" s="14"/>
      <c r="C181" s="14"/>
      <c r="D181" s="14"/>
      <c r="E181" s="14"/>
      <c r="F181" s="14"/>
    </row>
    <row r="182" spans="1:8" ht="15.5" x14ac:dyDescent="0.35">
      <c r="A182" s="45" t="s">
        <v>1474</v>
      </c>
      <c r="B182" s="14"/>
      <c r="C182" s="14"/>
      <c r="D182" s="14"/>
      <c r="E182" s="14"/>
      <c r="F182" s="14"/>
    </row>
    <row r="183" spans="1:8" x14ac:dyDescent="0.3">
      <c r="A183" s="3"/>
      <c r="B183" s="8" t="s">
        <v>1210</v>
      </c>
      <c r="C183" s="8" t="s">
        <v>1209</v>
      </c>
      <c r="D183" s="110" t="s">
        <v>1206</v>
      </c>
      <c r="E183" s="14"/>
      <c r="F183" s="14"/>
    </row>
    <row r="184" spans="1:8" x14ac:dyDescent="0.3">
      <c r="A184" s="3" t="s">
        <v>1207</v>
      </c>
      <c r="B184" s="3">
        <f>COUNTIF('MINGALA_Cleaned Data'!UO:UO,"oui")</f>
        <v>1</v>
      </c>
      <c r="C184" s="3">
        <f>COUNTIF('MINGALA_Cleaned Data'!UO:UO,"non")</f>
        <v>0</v>
      </c>
      <c r="D184" s="111">
        <f>SUM(B184:C184)</f>
        <v>1</v>
      </c>
      <c r="E184" s="14"/>
      <c r="F184" s="14"/>
    </row>
    <row r="185" spans="1:8" s="36" customFormat="1" ht="37" x14ac:dyDescent="0.3">
      <c r="A185" s="54" t="s">
        <v>3309</v>
      </c>
      <c r="B185" s="94">
        <f>(B184/$C$4)</f>
        <v>1</v>
      </c>
      <c r="C185" s="94">
        <f>(C184/$C$4)</f>
        <v>0</v>
      </c>
      <c r="D185" s="100">
        <f>SUM(B185:C185)</f>
        <v>1</v>
      </c>
      <c r="E185" s="47"/>
      <c r="F185" s="47"/>
    </row>
    <row r="186" spans="1:8" ht="15.5" x14ac:dyDescent="0.35">
      <c r="A186" s="9"/>
    </row>
    <row r="187" spans="1:8" ht="15.5" x14ac:dyDescent="0.35">
      <c r="A187" s="29" t="s">
        <v>1298</v>
      </c>
      <c r="D187" s="103" t="s">
        <v>3245</v>
      </c>
    </row>
    <row r="188" spans="1:8" x14ac:dyDescent="0.3">
      <c r="A188" s="3"/>
      <c r="B188" s="8" t="s">
        <v>1250</v>
      </c>
      <c r="C188" s="8" t="s">
        <v>1251</v>
      </c>
      <c r="D188" s="8" t="s">
        <v>1905</v>
      </c>
      <c r="E188" s="8" t="s">
        <v>1205</v>
      </c>
      <c r="F188" s="8" t="s">
        <v>1252</v>
      </c>
    </row>
    <row r="189" spans="1:8" x14ac:dyDescent="0.3">
      <c r="A189" s="3" t="s">
        <v>1207</v>
      </c>
      <c r="B189" s="3">
        <f>COUNTIF('MINGALA_Cleaned Data'!UG:UG,"1")</f>
        <v>1</v>
      </c>
      <c r="C189" s="3">
        <f>COUNTIF('MINGALA_Cleaned Data'!UH:UH,"1")</f>
        <v>1</v>
      </c>
      <c r="D189" s="3">
        <f>COUNTIF('MINGALA_Cleaned Data'!UI:UI,"1")</f>
        <v>0</v>
      </c>
      <c r="E189" s="3">
        <f>COUNTIF('MINGALA_Cleaned Data'!UJ:UJ,"1")</f>
        <v>0</v>
      </c>
      <c r="F189" s="3">
        <f>COUNTIF('MINGALA_Cleaned Data'!UK:UK,"1")</f>
        <v>0</v>
      </c>
    </row>
    <row r="190" spans="1:8" s="36" customFormat="1" ht="37" x14ac:dyDescent="0.3">
      <c r="A190" s="54" t="s">
        <v>3309</v>
      </c>
      <c r="B190" s="94">
        <f>B189/$C$4</f>
        <v>1</v>
      </c>
      <c r="C190" s="94">
        <f>C189/$C$4</f>
        <v>1</v>
      </c>
      <c r="D190" s="94">
        <f>D189/$C$4</f>
        <v>0</v>
      </c>
      <c r="E190" s="94">
        <f>E189/$C$4</f>
        <v>0</v>
      </c>
      <c r="F190" s="94">
        <f t="shared" ref="F190" si="13">F189/$B$9</f>
        <v>0</v>
      </c>
    </row>
    <row r="192" spans="1:8" ht="15.5" x14ac:dyDescent="0.35">
      <c r="A192" s="29" t="s">
        <v>1299</v>
      </c>
      <c r="D192" s="103" t="s">
        <v>3245</v>
      </c>
    </row>
    <row r="193" spans="1:26" s="36" customFormat="1" ht="76.5" customHeight="1" x14ac:dyDescent="0.35">
      <c r="A193" s="8" t="s">
        <v>1475</v>
      </c>
      <c r="B193" s="8" t="s">
        <v>2075</v>
      </c>
      <c r="C193" s="8" t="s">
        <v>1476</v>
      </c>
      <c r="D193" s="8" t="s">
        <v>1477</v>
      </c>
      <c r="E193" s="8" t="s">
        <v>1478</v>
      </c>
      <c r="F193" s="8" t="s">
        <v>1479</v>
      </c>
      <c r="G193" s="8" t="s">
        <v>1480</v>
      </c>
      <c r="H193" s="8" t="s">
        <v>2076</v>
      </c>
      <c r="I193" s="8" t="s">
        <v>1481</v>
      </c>
      <c r="J193" s="8" t="s">
        <v>1378</v>
      </c>
      <c r="K193" s="8" t="s">
        <v>1482</v>
      </c>
      <c r="L193" s="8" t="s">
        <v>2077</v>
      </c>
      <c r="M193" s="8" t="s">
        <v>2078</v>
      </c>
      <c r="N193" s="8" t="s">
        <v>1381</v>
      </c>
      <c r="O193" s="8" t="s">
        <v>3259</v>
      </c>
      <c r="P193" s="8" t="s">
        <v>1205</v>
      </c>
    </row>
    <row r="194" spans="1:26" x14ac:dyDescent="0.3">
      <c r="A194" s="3">
        <f>COUNTIF('MINGALA_Cleaned Data'!UQ:UQ,"1")</f>
        <v>1</v>
      </c>
      <c r="B194" s="3">
        <f>COUNTIF('MINGALA_Cleaned Data'!UR:UR,"1")</f>
        <v>1</v>
      </c>
      <c r="C194" s="3">
        <f>COUNTIF('MINGALA_Cleaned Data'!US:US,"1")</f>
        <v>1</v>
      </c>
      <c r="D194" s="3">
        <f>COUNTIF('MINGALA_Cleaned Data'!UT:UT,"1")</f>
        <v>0</v>
      </c>
      <c r="E194" s="3">
        <f>COUNTIF('MINGALA_Cleaned Data'!UU:UU,"1")</f>
        <v>1</v>
      </c>
      <c r="F194" s="3">
        <f>COUNTIF('MINGALA_Cleaned Data'!UV:UV,"1")</f>
        <v>1</v>
      </c>
      <c r="G194" s="3">
        <f>COUNTIF('MINGALA_Cleaned Data'!UW:UW,"1")</f>
        <v>1</v>
      </c>
      <c r="H194" s="3">
        <f>COUNTIF('MINGALA_Cleaned Data'!UX:UX,"1")</f>
        <v>1</v>
      </c>
      <c r="I194" s="3">
        <f>COUNTIF('MINGALA_Cleaned Data'!UY:UY,"1")</f>
        <v>1</v>
      </c>
      <c r="J194" s="3">
        <f>COUNTIF('MINGALA_Cleaned Data'!UZ:UZ,"1")</f>
        <v>0</v>
      </c>
      <c r="K194" s="3">
        <f>COUNTIF('MINGALA_Cleaned Data'!VA:VA,"1")</f>
        <v>0</v>
      </c>
      <c r="L194" s="3">
        <f>COUNTIF('MINGALA_Cleaned Data'!VB:VB,"1")</f>
        <v>0</v>
      </c>
      <c r="M194" s="3">
        <f>COUNTIF('MINGALA_Cleaned Data'!VC:VC,"1")</f>
        <v>0</v>
      </c>
      <c r="N194" s="3">
        <f>COUNTIF('MINGALA_Cleaned Data'!VD:VD,"1")</f>
        <v>0</v>
      </c>
      <c r="O194" s="3">
        <f>COUNTIF('MINGALA_Cleaned Data'!VE:VE,"1")</f>
        <v>0</v>
      </c>
      <c r="P194" s="3">
        <f>COUNTIF('MINGALA_Cleaned Data'!VF:VF,"1")</f>
        <v>0</v>
      </c>
    </row>
    <row r="196" spans="1:26" ht="15.5" x14ac:dyDescent="0.35">
      <c r="A196" s="29" t="s">
        <v>1300</v>
      </c>
      <c r="D196" s="103" t="s">
        <v>3245</v>
      </c>
    </row>
    <row r="197" spans="1:26" ht="28" x14ac:dyDescent="0.3">
      <c r="A197" s="8" t="s">
        <v>1236</v>
      </c>
      <c r="B197" s="8" t="s">
        <v>1256</v>
      </c>
      <c r="C197" s="8" t="s">
        <v>1257</v>
      </c>
      <c r="D197" s="8" t="s">
        <v>1239</v>
      </c>
      <c r="E197" s="8" t="s">
        <v>1240</v>
      </c>
      <c r="F197" s="8" t="s">
        <v>1258</v>
      </c>
      <c r="G197" s="8" t="s">
        <v>1259</v>
      </c>
      <c r="H197" s="8" t="s">
        <v>1260</v>
      </c>
      <c r="I197" s="8" t="s">
        <v>1261</v>
      </c>
      <c r="J197" s="8" t="s">
        <v>1252</v>
      </c>
      <c r="K197" s="8" t="s">
        <v>1905</v>
      </c>
      <c r="L197" s="8" t="s">
        <v>1220</v>
      </c>
    </row>
    <row r="198" spans="1:26" x14ac:dyDescent="0.3">
      <c r="A198" s="24">
        <f>COUNTIF('MINGALA_Cleaned Data'!VI:VI,"1")</f>
        <v>1</v>
      </c>
      <c r="B198" s="24">
        <f>COUNTIF('MINGALA_Cleaned Data'!VJ:VJ,"1")</f>
        <v>0</v>
      </c>
      <c r="C198" s="24">
        <f>COUNTIF('MINGALA_Cleaned Data'!VK:VK,"1")</f>
        <v>0</v>
      </c>
      <c r="D198" s="24">
        <f>COUNTIF('MINGALA_Cleaned Data'!VL:VL,"1")</f>
        <v>0</v>
      </c>
      <c r="E198" s="24">
        <f>COUNTIF('MINGALA_Cleaned Data'!VM:VM,"1")</f>
        <v>1</v>
      </c>
      <c r="F198" s="24">
        <f>COUNTIF('MINGALA_Cleaned Data'!VN:VN,"1")</f>
        <v>1</v>
      </c>
      <c r="G198" s="24">
        <f>COUNTIF('MINGALA_Cleaned Data'!VO:VO,"1")</f>
        <v>1</v>
      </c>
      <c r="H198" s="24">
        <f>COUNTIF('MINGALA_Cleaned Data'!VP:VP,"1")</f>
        <v>1</v>
      </c>
      <c r="I198" s="24">
        <f>COUNTIF('MINGALA_Cleaned Data'!VQ:VQ,"1")</f>
        <v>1</v>
      </c>
      <c r="J198" s="24">
        <f>COUNTIF('MINGALA_Cleaned Data'!VR:VR,"1")</f>
        <v>0</v>
      </c>
      <c r="K198" s="24">
        <f>COUNTIF('MINGALA_Cleaned Data'!VS:VS,"1")</f>
        <v>0</v>
      </c>
      <c r="L198" s="24">
        <f>COUNTIF('MINGALA_Cleaned Data'!VT:VT,"1")</f>
        <v>0</v>
      </c>
    </row>
    <row r="200" spans="1:26" ht="15.5" x14ac:dyDescent="0.35">
      <c r="A200" s="29" t="s">
        <v>1334</v>
      </c>
    </row>
    <row r="201" spans="1:26" x14ac:dyDescent="0.3">
      <c r="A201" s="3"/>
      <c r="B201" s="8" t="s">
        <v>1210</v>
      </c>
      <c r="C201" s="8" t="s">
        <v>1209</v>
      </c>
      <c r="D201" s="110" t="s">
        <v>1206</v>
      </c>
    </row>
    <row r="202" spans="1:26" x14ac:dyDescent="0.3">
      <c r="A202" s="3" t="s">
        <v>1207</v>
      </c>
      <c r="B202" s="24">
        <f>COUNTIF('MINGALA_Cleaned Data'!VW:VW,"OUI")</f>
        <v>0</v>
      </c>
      <c r="C202" s="24">
        <f>COUNTIF('MINGALA_Cleaned Data'!VW:VW,"non")</f>
        <v>1</v>
      </c>
      <c r="D202" s="111">
        <f>SUM(B202:C202)</f>
        <v>1</v>
      </c>
    </row>
    <row r="203" spans="1:26" ht="37.5" x14ac:dyDescent="0.3">
      <c r="A203" s="53" t="s">
        <v>3288</v>
      </c>
      <c r="B203" s="39">
        <f>(B202/$C$4)</f>
        <v>0</v>
      </c>
      <c r="C203" s="39">
        <f>(C202/$C$4)</f>
        <v>1</v>
      </c>
      <c r="D203" s="100">
        <f>SUM(B203:C203)</f>
        <v>1</v>
      </c>
    </row>
    <row r="204" spans="1:26" x14ac:dyDescent="0.3">
      <c r="A204" s="91"/>
      <c r="B204" s="15"/>
      <c r="C204" s="15"/>
    </row>
    <row r="205" spans="1:26" s="1" customFormat="1" x14ac:dyDescent="0.3">
      <c r="A205" s="10"/>
      <c r="B205" s="18" t="s">
        <v>1262</v>
      </c>
      <c r="C205" s="10"/>
      <c r="D205" s="103" t="s">
        <v>3245</v>
      </c>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s="56" customFormat="1" ht="28" x14ac:dyDescent="0.3">
      <c r="A206" s="36"/>
      <c r="B206" s="3"/>
      <c r="C206" s="11" t="s">
        <v>1922</v>
      </c>
      <c r="D206" s="11" t="s">
        <v>1369</v>
      </c>
      <c r="E206" s="11" t="s">
        <v>1923</v>
      </c>
      <c r="F206" s="11" t="s">
        <v>1924</v>
      </c>
      <c r="G206" s="11" t="s">
        <v>1925</v>
      </c>
      <c r="H206" s="11" t="s">
        <v>1905</v>
      </c>
      <c r="I206" s="11" t="s">
        <v>1205</v>
      </c>
      <c r="J206" s="61"/>
      <c r="K206" s="61"/>
      <c r="L206" s="36"/>
      <c r="M206" s="36"/>
      <c r="N206" s="36"/>
      <c r="O206" s="36"/>
      <c r="P206" s="36"/>
      <c r="Q206" s="36"/>
      <c r="R206" s="36"/>
      <c r="S206" s="36"/>
      <c r="T206" s="36"/>
      <c r="U206" s="36"/>
      <c r="V206" s="36"/>
      <c r="W206" s="36"/>
      <c r="X206" s="36"/>
      <c r="Y206" s="36"/>
      <c r="Z206" s="36"/>
    </row>
    <row r="207" spans="1:26" s="1" customFormat="1" x14ac:dyDescent="0.3">
      <c r="A207" s="10"/>
      <c r="B207" s="3" t="s">
        <v>1207</v>
      </c>
      <c r="C207" s="24">
        <f>COUNTIF('MINGALA_Cleaned Data'!VY:VY,"1")</f>
        <v>0</v>
      </c>
      <c r="D207" s="24">
        <f>COUNTIF('MINGALA_Cleaned Data'!VZ:VZ,"1")</f>
        <v>0</v>
      </c>
      <c r="E207" s="24">
        <f>COUNTIF('MINGALA_Cleaned Data'!WA:WA,"1")</f>
        <v>0</v>
      </c>
      <c r="F207" s="24">
        <f>COUNTIF('MINGALA_Cleaned Data'!WB:WB,"1")</f>
        <v>0</v>
      </c>
      <c r="G207" s="24">
        <f>COUNTIF('MINGALA_Cleaned Data'!WC:WC,"1")</f>
        <v>0</v>
      </c>
      <c r="H207" s="24">
        <f>COUNTIF('MINGALA_Cleaned Data'!WD:WD,"1")</f>
        <v>0</v>
      </c>
      <c r="I207" s="24">
        <f>COUNTIF('MINGALA_Cleaned Data'!WE:WE,"1")</f>
        <v>0</v>
      </c>
      <c r="J207" s="10"/>
      <c r="K207" s="10"/>
      <c r="L207" s="10"/>
      <c r="M207" s="10"/>
      <c r="N207" s="10"/>
      <c r="O207" s="10"/>
      <c r="P207" s="10"/>
      <c r="Q207" s="10"/>
      <c r="R207" s="10"/>
      <c r="S207" s="10"/>
      <c r="T207" s="10"/>
      <c r="U207" s="10"/>
      <c r="V207" s="10"/>
      <c r="W207" s="10"/>
      <c r="X207" s="10"/>
      <c r="Y207" s="10"/>
      <c r="Z207" s="10"/>
    </row>
    <row r="208" spans="1:26" s="1" customFormat="1" ht="37.5" x14ac:dyDescent="0.3">
      <c r="A208" s="10"/>
      <c r="B208" s="53" t="s">
        <v>3310</v>
      </c>
      <c r="C208" s="7" t="e">
        <f>C207/$B$202</f>
        <v>#DIV/0!</v>
      </c>
      <c r="D208" s="7" t="e">
        <f t="shared" ref="D208:I208" si="14">D207/$B$202</f>
        <v>#DIV/0!</v>
      </c>
      <c r="E208" s="7" t="e">
        <f t="shared" si="14"/>
        <v>#DIV/0!</v>
      </c>
      <c r="F208" s="7" t="e">
        <f t="shared" si="14"/>
        <v>#DIV/0!</v>
      </c>
      <c r="G208" s="7" t="e">
        <f t="shared" si="14"/>
        <v>#DIV/0!</v>
      </c>
      <c r="H208" s="7" t="e">
        <f t="shared" si="14"/>
        <v>#DIV/0!</v>
      </c>
      <c r="I208" s="7" t="e">
        <f t="shared" si="14"/>
        <v>#DIV/0!</v>
      </c>
      <c r="J208" s="74" t="s">
        <v>3329</v>
      </c>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0"/>
      <c r="C210" s="10"/>
      <c r="D210" s="10"/>
      <c r="E210" s="10"/>
      <c r="F210" s="10"/>
      <c r="G210" s="10"/>
      <c r="H210" s="10"/>
      <c r="I210" s="74"/>
      <c r="J210" s="10"/>
      <c r="K210" s="10"/>
      <c r="L210" s="10"/>
      <c r="M210" s="10"/>
      <c r="N210" s="10"/>
      <c r="O210" s="10"/>
      <c r="P210" s="10"/>
      <c r="Q210" s="10"/>
      <c r="R210" s="10"/>
      <c r="S210" s="10"/>
      <c r="T210" s="10"/>
      <c r="U210" s="10"/>
      <c r="V210" s="10"/>
      <c r="W210" s="10"/>
      <c r="X210" s="10"/>
      <c r="Y210" s="10"/>
      <c r="Z210" s="10"/>
    </row>
    <row r="211" spans="1:26" s="1" customFormat="1" x14ac:dyDescent="0.3">
      <c r="A211" s="10"/>
      <c r="B211" s="18" t="s">
        <v>1265</v>
      </c>
      <c r="C211" s="10"/>
      <c r="D211" s="103" t="s">
        <v>3245</v>
      </c>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s="56" customFormat="1" ht="56" x14ac:dyDescent="0.3">
      <c r="A212" s="36"/>
      <c r="B212" s="3"/>
      <c r="C212" s="11" t="s">
        <v>1928</v>
      </c>
      <c r="D212" s="11" t="s">
        <v>1926</v>
      </c>
      <c r="E212" s="11" t="s">
        <v>1268</v>
      </c>
      <c r="F212" s="11" t="s">
        <v>1269</v>
      </c>
      <c r="G212" s="11" t="s">
        <v>1927</v>
      </c>
      <c r="H212" s="11" t="s">
        <v>1266</v>
      </c>
      <c r="I212" s="11" t="s">
        <v>1267</v>
      </c>
      <c r="J212" s="11" t="s">
        <v>1929</v>
      </c>
      <c r="K212" s="11" t="s">
        <v>1930</v>
      </c>
      <c r="L212" s="11" t="s">
        <v>1931</v>
      </c>
      <c r="M212" s="11" t="s">
        <v>1932</v>
      </c>
      <c r="N212" s="11" t="s">
        <v>1905</v>
      </c>
      <c r="O212" s="11" t="s">
        <v>1220</v>
      </c>
      <c r="P212" s="61"/>
      <c r="Q212" s="61"/>
      <c r="S212" s="36"/>
      <c r="T212" s="36"/>
      <c r="U212" s="36"/>
      <c r="V212" s="36"/>
      <c r="W212" s="36"/>
      <c r="X212" s="36"/>
      <c r="Y212" s="36"/>
      <c r="Z212" s="36"/>
    </row>
    <row r="213" spans="1:26" s="1" customFormat="1" x14ac:dyDescent="0.3">
      <c r="A213" s="10"/>
      <c r="B213" s="3" t="s">
        <v>1207</v>
      </c>
      <c r="C213" s="24">
        <f>COUNTIF('MINGALA_Cleaned Data'!WH:WH,"1")</f>
        <v>0</v>
      </c>
      <c r="D213" s="24">
        <f>COUNTIF('MINGALA_Cleaned Data'!WI:WI,"1")</f>
        <v>0</v>
      </c>
      <c r="E213" s="24">
        <f>COUNTIF('MINGALA_Cleaned Data'!WJ:WJ,"1")</f>
        <v>0</v>
      </c>
      <c r="F213" s="24">
        <f>COUNTIF('MINGALA_Cleaned Data'!WK:WK,"1")</f>
        <v>0</v>
      </c>
      <c r="G213" s="24">
        <f>COUNTIF('MINGALA_Cleaned Data'!WL:WL,"1")</f>
        <v>0</v>
      </c>
      <c r="H213" s="24">
        <f>COUNTIF('MINGALA_Cleaned Data'!WM:WM,"1")</f>
        <v>0</v>
      </c>
      <c r="I213" s="24">
        <f>COUNTIF('MINGALA_Cleaned Data'!WN:WN,"1")</f>
        <v>0</v>
      </c>
      <c r="J213" s="24">
        <f>COUNTIF('MINGALA_Cleaned Data'!WO:WO,"1")</f>
        <v>0</v>
      </c>
      <c r="K213" s="24">
        <f>COUNTIF('MINGALA_Cleaned Data'!WP:WP,"1")</f>
        <v>0</v>
      </c>
      <c r="L213" s="24">
        <f>COUNTIF('MINGALA_Cleaned Data'!WQ:WQ,"1")</f>
        <v>0</v>
      </c>
      <c r="M213" s="24">
        <f>COUNTIF('MINGALA_Cleaned Data'!WR:WR,"1")</f>
        <v>0</v>
      </c>
      <c r="N213" s="24">
        <f>COUNTIF('MINGALA_Cleaned Data'!WS:WS,"1")</f>
        <v>0</v>
      </c>
      <c r="O213" s="24">
        <f>COUNTIF('MINGALA_Cleaned Data'!WT:WT,"1")</f>
        <v>0</v>
      </c>
      <c r="P213" s="10"/>
      <c r="Q213" s="10"/>
      <c r="R213" s="10"/>
      <c r="S213" s="10"/>
      <c r="T213" s="10"/>
      <c r="U213" s="10"/>
      <c r="V213" s="10"/>
      <c r="W213" s="10"/>
      <c r="X213" s="10"/>
      <c r="Y213" s="10"/>
      <c r="Z213" s="10"/>
    </row>
    <row r="214" spans="1:26" s="1" customFormat="1" ht="37.5" x14ac:dyDescent="0.3">
      <c r="A214" s="10"/>
      <c r="B214" s="53" t="s">
        <v>3310</v>
      </c>
      <c r="C214" s="7" t="e">
        <f>C213/$B$202</f>
        <v>#DIV/0!</v>
      </c>
      <c r="D214" s="7" t="e">
        <f t="shared" ref="D214:O214" si="15">D213/$B$202</f>
        <v>#DIV/0!</v>
      </c>
      <c r="E214" s="7" t="e">
        <f t="shared" si="15"/>
        <v>#DIV/0!</v>
      </c>
      <c r="F214" s="7" t="e">
        <f t="shared" si="15"/>
        <v>#DIV/0!</v>
      </c>
      <c r="G214" s="7" t="e">
        <f t="shared" si="15"/>
        <v>#DIV/0!</v>
      </c>
      <c r="H214" s="7" t="e">
        <f t="shared" si="15"/>
        <v>#DIV/0!</v>
      </c>
      <c r="I214" s="7" t="e">
        <f t="shared" si="15"/>
        <v>#DIV/0!</v>
      </c>
      <c r="J214" s="7" t="e">
        <f t="shared" si="15"/>
        <v>#DIV/0!</v>
      </c>
      <c r="K214" s="7" t="e">
        <f t="shared" si="15"/>
        <v>#DIV/0!</v>
      </c>
      <c r="L214" s="7" t="e">
        <f t="shared" si="15"/>
        <v>#DIV/0!</v>
      </c>
      <c r="M214" s="7" t="e">
        <f t="shared" si="15"/>
        <v>#DIV/0!</v>
      </c>
      <c r="N214" s="7" t="e">
        <f t="shared" si="15"/>
        <v>#DIV/0!</v>
      </c>
      <c r="O214" s="7" t="e">
        <f t="shared" si="15"/>
        <v>#DIV/0!</v>
      </c>
      <c r="P214" s="10"/>
      <c r="Q214" s="10"/>
      <c r="R214" s="10"/>
      <c r="S214" s="10"/>
      <c r="T214" s="10"/>
      <c r="U214" s="10"/>
      <c r="V214" s="10"/>
      <c r="W214" s="10"/>
      <c r="X214" s="10"/>
      <c r="Y214" s="10"/>
      <c r="Z214" s="10"/>
    </row>
    <row r="215" spans="1:26" x14ac:dyDescent="0.3">
      <c r="B215" s="15"/>
      <c r="C215" s="15"/>
      <c r="D215" s="15"/>
      <c r="E215" s="15"/>
      <c r="F215" s="15"/>
      <c r="G215" s="15"/>
      <c r="H215" s="15"/>
    </row>
    <row r="216" spans="1:26" s="1" customFormat="1" x14ac:dyDescent="0.3">
      <c r="A216" s="10"/>
      <c r="B216" s="18" t="s">
        <v>1406</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c r="C217" s="11" t="s">
        <v>1210</v>
      </c>
      <c r="D217" s="11" t="s">
        <v>1209</v>
      </c>
      <c r="E217" s="110" t="s">
        <v>1206</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x14ac:dyDescent="0.3">
      <c r="A218" s="10"/>
      <c r="B218" s="3" t="s">
        <v>1207</v>
      </c>
      <c r="C218" s="24">
        <f>COUNTIF('MINGALA_Cleaned Data'!WV:WV,"OUI")</f>
        <v>0</v>
      </c>
      <c r="D218" s="24">
        <f>COUNTIF('MINGALA_Cleaned Data'!WV:WV,"non")</f>
        <v>0</v>
      </c>
      <c r="E218" s="111">
        <f>SUM(C218:D218)</f>
        <v>0</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ht="37.5" x14ac:dyDescent="0.3">
      <c r="A219" s="10"/>
      <c r="B219" s="53" t="s">
        <v>3310</v>
      </c>
      <c r="C219" s="7" t="e">
        <f>(C218/$B$202)</f>
        <v>#DIV/0!</v>
      </c>
      <c r="D219" s="7" t="e">
        <f>(D218/$B$202)</f>
        <v>#DIV/0!</v>
      </c>
      <c r="E219" s="100" t="e">
        <f>SUM(C219:D219)</f>
        <v>#DIV/0!</v>
      </c>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18" t="s">
        <v>1270</v>
      </c>
      <c r="D221" s="10"/>
      <c r="E221" s="103" t="s">
        <v>3245</v>
      </c>
      <c r="F221" s="10"/>
      <c r="G221" s="10"/>
      <c r="H221" s="10"/>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c r="D222" s="11" t="s">
        <v>1271</v>
      </c>
      <c r="E222" s="11" t="s">
        <v>1272</v>
      </c>
      <c r="F222" s="11" t="s">
        <v>1273</v>
      </c>
      <c r="G222" s="11" t="s">
        <v>1274</v>
      </c>
      <c r="H222" s="11" t="s">
        <v>1205</v>
      </c>
      <c r="I222" s="10"/>
      <c r="J222" s="10"/>
      <c r="K222" s="10"/>
      <c r="L222" s="10"/>
      <c r="M222" s="10"/>
      <c r="N222" s="10"/>
      <c r="O222" s="10"/>
      <c r="P222" s="10"/>
      <c r="Q222" s="10"/>
      <c r="R222" s="10"/>
      <c r="S222" s="10"/>
      <c r="T222" s="10"/>
      <c r="U222" s="10"/>
      <c r="V222" s="10"/>
      <c r="W222" s="10"/>
      <c r="X222" s="10"/>
      <c r="Y222" s="10"/>
      <c r="Z222" s="10"/>
    </row>
    <row r="223" spans="1:26" s="1" customFormat="1" x14ac:dyDescent="0.3">
      <c r="A223" s="10"/>
      <c r="B223" s="10"/>
      <c r="C223" s="3" t="s">
        <v>1207</v>
      </c>
      <c r="D223" s="4">
        <f>COUNTIF('MINGALA_Cleaned Data'!WX:WX,"1")</f>
        <v>0</v>
      </c>
      <c r="E223" s="4">
        <f>COUNTIF('MINGALA_Cleaned Data'!WY:WY,"1")</f>
        <v>0</v>
      </c>
      <c r="F223" s="4">
        <f>COUNTIF('MINGALA_Cleaned Data'!WZ:WZ,"1")</f>
        <v>0</v>
      </c>
      <c r="G223" s="4">
        <f>COUNTIF('MINGALA_Cleaned Data'!XA:XA,"1")</f>
        <v>0</v>
      </c>
      <c r="H223" s="4">
        <f>COUNTIF('MINGALA_Cleaned Data'!XB:XB,"1")</f>
        <v>0</v>
      </c>
      <c r="I223" s="10"/>
      <c r="J223" s="10"/>
      <c r="K223" s="10"/>
      <c r="L223" s="10"/>
      <c r="M223" s="10"/>
      <c r="N223" s="10"/>
      <c r="O223" s="10"/>
      <c r="P223" s="10"/>
      <c r="Q223" s="10"/>
      <c r="R223" s="10"/>
      <c r="S223" s="10"/>
      <c r="T223" s="10"/>
      <c r="U223" s="10"/>
      <c r="V223" s="10"/>
      <c r="W223" s="10"/>
      <c r="X223" s="10"/>
      <c r="Y223" s="10"/>
      <c r="Z223" s="10"/>
    </row>
    <row r="224" spans="1:26" s="1" customFormat="1" ht="49" x14ac:dyDescent="0.3">
      <c r="A224" s="10"/>
      <c r="B224" s="10"/>
      <c r="C224" s="53" t="s">
        <v>3311</v>
      </c>
      <c r="D224" s="7" t="e">
        <f>D223/$D$218</f>
        <v>#DIV/0!</v>
      </c>
      <c r="E224" s="7" t="e">
        <f t="shared" ref="E224:H224" si="16">E223/$D$218</f>
        <v>#DIV/0!</v>
      </c>
      <c r="F224" s="7" t="e">
        <f t="shared" si="16"/>
        <v>#DIV/0!</v>
      </c>
      <c r="G224" s="7" t="e">
        <f t="shared" si="16"/>
        <v>#DIV/0!</v>
      </c>
      <c r="H224" s="7" t="e">
        <f t="shared" si="16"/>
        <v>#DIV/0!</v>
      </c>
      <c r="I224" s="10"/>
      <c r="J224" s="10"/>
      <c r="K224" s="10"/>
      <c r="L224" s="10"/>
      <c r="M224" s="10"/>
      <c r="N224" s="10"/>
      <c r="O224" s="10"/>
      <c r="P224" s="10"/>
      <c r="Q224" s="10"/>
      <c r="R224" s="10"/>
      <c r="S224" s="10"/>
      <c r="T224" s="10"/>
      <c r="U224" s="10"/>
      <c r="V224" s="10"/>
      <c r="W224" s="10"/>
      <c r="X224" s="10"/>
      <c r="Y224" s="10"/>
      <c r="Z224" s="10"/>
    </row>
    <row r="226" spans="1:13" ht="15.5" x14ac:dyDescent="0.35">
      <c r="A226" s="9" t="s">
        <v>1301</v>
      </c>
      <c r="C226" s="103" t="s">
        <v>3245</v>
      </c>
    </row>
    <row r="227" spans="1:13" s="36" customFormat="1" ht="84" x14ac:dyDescent="0.35">
      <c r="A227" s="8" t="s">
        <v>2081</v>
      </c>
      <c r="B227" s="8" t="s">
        <v>1483</v>
      </c>
      <c r="C227" s="8" t="s">
        <v>2082</v>
      </c>
      <c r="D227" s="8" t="s">
        <v>2083</v>
      </c>
      <c r="E227" s="8" t="s">
        <v>2084</v>
      </c>
      <c r="F227" s="8" t="s">
        <v>1484</v>
      </c>
      <c r="G227" s="8" t="s">
        <v>1268</v>
      </c>
      <c r="H227" s="8" t="s">
        <v>2085</v>
      </c>
      <c r="I227" s="8" t="s">
        <v>2086</v>
      </c>
      <c r="J227" s="8" t="s">
        <v>2087</v>
      </c>
      <c r="K227" s="8" t="s">
        <v>2088</v>
      </c>
      <c r="L227" s="8" t="s">
        <v>1905</v>
      </c>
      <c r="M227" s="8" t="s">
        <v>1220</v>
      </c>
    </row>
    <row r="228" spans="1:13" x14ac:dyDescent="0.3">
      <c r="A228" s="24">
        <f>COUNTIF('MINGALA_Cleaned Data'!XE:XE,"1")</f>
        <v>1</v>
      </c>
      <c r="B228" s="24">
        <f>COUNTIF('MINGALA_Cleaned Data'!XF:XF,"1")</f>
        <v>1</v>
      </c>
      <c r="C228" s="24">
        <f>COUNTIF('MINGALA_Cleaned Data'!XG:XG,"1")</f>
        <v>1</v>
      </c>
      <c r="D228" s="24">
        <f>COUNTIF('MINGALA_Cleaned Data'!XH:XH,"1")</f>
        <v>1</v>
      </c>
      <c r="E228" s="24">
        <f>COUNTIF('MINGALA_Cleaned Data'!XI:XI,"1")</f>
        <v>1</v>
      </c>
      <c r="F228" s="24">
        <f>COUNTIF('MINGALA_Cleaned Data'!XJ:XJ,"1")</f>
        <v>1</v>
      </c>
      <c r="G228" s="24">
        <f>COUNTIF('MINGALA_Cleaned Data'!XK:XK,"1")</f>
        <v>1</v>
      </c>
      <c r="H228" s="24">
        <f>COUNTIF('MINGALA_Cleaned Data'!XL:XL,"1")</f>
        <v>1</v>
      </c>
      <c r="I228" s="24">
        <f>COUNTIF('MINGALA_Cleaned Data'!XM:XM,"1")</f>
        <v>1</v>
      </c>
      <c r="J228" s="24">
        <f>COUNTIF('MINGALA_Cleaned Data'!XN:XN,"1")</f>
        <v>1</v>
      </c>
      <c r="K228" s="24">
        <f>COUNTIF('MINGALA_Cleaned Data'!XO:XO,"1")</f>
        <v>1</v>
      </c>
      <c r="L228" s="24">
        <f>COUNTIF('MINGALA_Cleaned Data'!XP:XP,"1")</f>
        <v>0</v>
      </c>
      <c r="M228" s="24">
        <f>COUNTIF('MINGALA_Cleaned Data'!XQ:XQ,"1")</f>
        <v>0</v>
      </c>
    </row>
    <row r="229" spans="1:13" x14ac:dyDescent="0.3">
      <c r="M229" s="74"/>
    </row>
    <row r="230" spans="1:13" ht="15.5" x14ac:dyDescent="0.35">
      <c r="A230" s="9" t="s">
        <v>1485</v>
      </c>
    </row>
    <row r="231" spans="1:13" ht="15.5" x14ac:dyDescent="0.35">
      <c r="A231" s="29" t="s">
        <v>1486</v>
      </c>
    </row>
    <row r="232" spans="1:13" x14ac:dyDescent="0.3">
      <c r="A232" s="3"/>
      <c r="B232" s="8" t="s">
        <v>1210</v>
      </c>
      <c r="C232" s="8" t="s">
        <v>1209</v>
      </c>
      <c r="D232" s="110" t="s">
        <v>1206</v>
      </c>
    </row>
    <row r="233" spans="1:13" x14ac:dyDescent="0.3">
      <c r="A233" s="3" t="s">
        <v>1207</v>
      </c>
      <c r="B233" s="4">
        <f>COUNTIF('MINGALA_Cleaned Data'!XT:XT,"OUI")</f>
        <v>1</v>
      </c>
      <c r="C233" s="4">
        <f>COUNTIF('MINGALA_Cleaned Data'!XT:XT,"non")</f>
        <v>0</v>
      </c>
      <c r="D233" s="111">
        <f>SUM(B233:C233)</f>
        <v>1</v>
      </c>
    </row>
    <row r="234" spans="1:13" s="36" customFormat="1" ht="37" x14ac:dyDescent="0.3">
      <c r="A234" s="54" t="s">
        <v>3301</v>
      </c>
      <c r="B234" s="120">
        <f>(B233/$E$9)</f>
        <v>1</v>
      </c>
      <c r="C234" s="120">
        <f>(C233/$E$9)</f>
        <v>0</v>
      </c>
      <c r="D234" s="100">
        <f>SUM(B234:C234)</f>
        <v>1</v>
      </c>
    </row>
    <row r="236" spans="1:13" x14ac:dyDescent="0.3">
      <c r="B236" s="18" t="s">
        <v>1487</v>
      </c>
      <c r="D236" s="103" t="s">
        <v>3245</v>
      </c>
    </row>
    <row r="237" spans="1:13" s="36" customFormat="1" ht="56" x14ac:dyDescent="0.3">
      <c r="B237" s="3"/>
      <c r="C237" s="11" t="s">
        <v>1488</v>
      </c>
      <c r="D237" s="11" t="s">
        <v>1489</v>
      </c>
      <c r="E237" s="11" t="s">
        <v>1490</v>
      </c>
      <c r="F237" s="11" t="s">
        <v>1491</v>
      </c>
      <c r="G237" s="11" t="s">
        <v>1492</v>
      </c>
      <c r="H237" s="11" t="s">
        <v>1493</v>
      </c>
      <c r="I237" s="11" t="s">
        <v>3259</v>
      </c>
      <c r="J237" s="11" t="s">
        <v>1205</v>
      </c>
    </row>
    <row r="238" spans="1:13" x14ac:dyDescent="0.3">
      <c r="B238" s="3" t="s">
        <v>1207</v>
      </c>
      <c r="C238" s="24">
        <f>COUNTIF('MINGALA_Cleaned Data'!XV:XV,"1")</f>
        <v>1</v>
      </c>
      <c r="D238" s="24">
        <f>COUNTIF('MINGALA_Cleaned Data'!XW:XW,"1")</f>
        <v>1</v>
      </c>
      <c r="E238" s="24">
        <f>COUNTIF('MINGALA_Cleaned Data'!XX:XX,"1")</f>
        <v>1</v>
      </c>
      <c r="F238" s="24">
        <f>COUNTIF('MINGALA_Cleaned Data'!XY:XY,"1")</f>
        <v>1</v>
      </c>
      <c r="G238" s="24">
        <f>COUNTIF('MINGALA_Cleaned Data'!XZ:XZ,"1")</f>
        <v>1</v>
      </c>
      <c r="H238" s="24">
        <f>COUNTIF('MINGALA_Cleaned Data'!YA:YA,"1")</f>
        <v>1</v>
      </c>
      <c r="I238" s="24">
        <f>COUNTIF('MINGALA_Cleaned Data'!YB:YB,"1")</f>
        <v>0</v>
      </c>
      <c r="J238" s="24">
        <f>COUNTIF('MINGALA_Cleaned Data'!YC:YC,"1")</f>
        <v>0</v>
      </c>
    </row>
    <row r="239" spans="1:13" ht="37" x14ac:dyDescent="0.3">
      <c r="B239" s="54" t="s">
        <v>3313</v>
      </c>
      <c r="C239" s="120">
        <f>(C238/$B$233)</f>
        <v>1</v>
      </c>
      <c r="D239" s="120">
        <f t="shared" ref="D239:J239" si="17">(D238/$B$233)</f>
        <v>1</v>
      </c>
      <c r="E239" s="120">
        <f t="shared" si="17"/>
        <v>1</v>
      </c>
      <c r="F239" s="120">
        <f t="shared" si="17"/>
        <v>1</v>
      </c>
      <c r="G239" s="120">
        <f t="shared" si="17"/>
        <v>1</v>
      </c>
      <c r="H239" s="120">
        <f t="shared" si="17"/>
        <v>1</v>
      </c>
      <c r="I239" s="120">
        <f t="shared" si="17"/>
        <v>0</v>
      </c>
      <c r="J239" s="120">
        <f t="shared" si="17"/>
        <v>0</v>
      </c>
    </row>
    <row r="241" spans="1:4" ht="15.5" x14ac:dyDescent="0.35">
      <c r="A241" s="29" t="s">
        <v>1494</v>
      </c>
    </row>
    <row r="242" spans="1:4" x14ac:dyDescent="0.3">
      <c r="A242" s="3"/>
      <c r="B242" s="8" t="s">
        <v>1210</v>
      </c>
      <c r="C242" s="8" t="s">
        <v>1209</v>
      </c>
      <c r="D242" s="110" t="s">
        <v>1206</v>
      </c>
    </row>
    <row r="243" spans="1:4" x14ac:dyDescent="0.3">
      <c r="A243" s="3" t="s">
        <v>1207</v>
      </c>
      <c r="B243" s="4">
        <f>COUNTIF('MINGALA_Cleaned Data'!YE:YE,"OUI")</f>
        <v>1</v>
      </c>
      <c r="C243" s="4">
        <f>COUNTIF('MINGALA_Cleaned Data'!YE:YE,"non")</f>
        <v>0</v>
      </c>
      <c r="D243" s="111">
        <f>SUM(B243:C243)</f>
        <v>1</v>
      </c>
    </row>
    <row r="244" spans="1:4" ht="37" x14ac:dyDescent="0.3">
      <c r="A244" s="54" t="s">
        <v>3301</v>
      </c>
      <c r="B244" s="120">
        <f>(B243/$E$9)</f>
        <v>1</v>
      </c>
      <c r="C244" s="120">
        <f>(C243/$E$9)</f>
        <v>0</v>
      </c>
      <c r="D244" s="100">
        <f>SUM(B244:C244)</f>
        <v>1</v>
      </c>
    </row>
    <row r="246" spans="1:4" ht="15.5" x14ac:dyDescent="0.35">
      <c r="A246" s="29" t="s">
        <v>1495</v>
      </c>
    </row>
    <row r="247" spans="1:4" x14ac:dyDescent="0.3">
      <c r="A247" s="3"/>
      <c r="B247" s="8" t="s">
        <v>1210</v>
      </c>
      <c r="C247" s="8" t="s">
        <v>1209</v>
      </c>
      <c r="D247" s="110" t="s">
        <v>1206</v>
      </c>
    </row>
    <row r="248" spans="1:4" x14ac:dyDescent="0.3">
      <c r="A248" s="3" t="s">
        <v>1207</v>
      </c>
      <c r="B248" s="4">
        <f>COUNTIF('MINGALA_Cleaned Data'!YF:YF,"OUI")</f>
        <v>0</v>
      </c>
      <c r="C248" s="4">
        <f>COUNTIF('MINGALA_Cleaned Data'!YF:YF,"non")</f>
        <v>1</v>
      </c>
      <c r="D248" s="111">
        <f>SUM(B248:C248)</f>
        <v>1</v>
      </c>
    </row>
    <row r="249" spans="1:4" ht="37" x14ac:dyDescent="0.3">
      <c r="A249" s="54" t="s">
        <v>3301</v>
      </c>
      <c r="B249" s="120">
        <f>(B248/$E$9)</f>
        <v>0</v>
      </c>
      <c r="C249" s="120">
        <f>(C248/$E$9)</f>
        <v>1</v>
      </c>
      <c r="D249" s="100">
        <f>SUM(B249:C249)</f>
        <v>1</v>
      </c>
    </row>
    <row r="251" spans="1:4" ht="15.5" x14ac:dyDescent="0.35">
      <c r="A251" s="29" t="s">
        <v>1496</v>
      </c>
    </row>
    <row r="252" spans="1:4" x14ac:dyDescent="0.3">
      <c r="A252" s="3"/>
      <c r="B252" s="8" t="s">
        <v>1210</v>
      </c>
      <c r="C252" s="8" t="s">
        <v>1209</v>
      </c>
      <c r="D252" s="110" t="s">
        <v>1206</v>
      </c>
    </row>
    <row r="253" spans="1:4" x14ac:dyDescent="0.3">
      <c r="A253" s="3" t="s">
        <v>1207</v>
      </c>
      <c r="B253" s="4">
        <f>COUNTIF('MINGALA_Cleaned Data'!YH:YH,"OUI")</f>
        <v>1</v>
      </c>
      <c r="C253" s="4">
        <f>COUNTIF('MINGALA_Cleaned Data'!YH:YH,"non")</f>
        <v>0</v>
      </c>
      <c r="D253" s="111">
        <f>SUM(B253:C253)</f>
        <v>1</v>
      </c>
    </row>
    <row r="254" spans="1:4" ht="37" x14ac:dyDescent="0.3">
      <c r="A254" s="54" t="s">
        <v>3301</v>
      </c>
      <c r="B254" s="120">
        <f>(B253/$E$9)</f>
        <v>1</v>
      </c>
      <c r="C254" s="120">
        <f>(C253/$E$9)</f>
        <v>0</v>
      </c>
      <c r="D254" s="100">
        <f>SUM(B254:C254)</f>
        <v>1</v>
      </c>
    </row>
    <row r="256" spans="1:4" x14ac:dyDescent="0.3">
      <c r="B256" s="18" t="s">
        <v>1497</v>
      </c>
      <c r="D256" s="103" t="s">
        <v>3245</v>
      </c>
    </row>
    <row r="257" spans="1:10" s="36" customFormat="1" ht="42" x14ac:dyDescent="0.3">
      <c r="B257" s="3"/>
      <c r="C257" s="11" t="s">
        <v>1488</v>
      </c>
      <c r="D257" s="11" t="s">
        <v>1498</v>
      </c>
      <c r="E257" s="11" t="s">
        <v>1503</v>
      </c>
      <c r="F257" s="11" t="s">
        <v>1499</v>
      </c>
      <c r="G257" s="11" t="s">
        <v>1500</v>
      </c>
      <c r="H257" s="11" t="s">
        <v>1501</v>
      </c>
      <c r="I257" s="11" t="s">
        <v>1502</v>
      </c>
      <c r="J257" s="11" t="s">
        <v>1220</v>
      </c>
    </row>
    <row r="258" spans="1:10" x14ac:dyDescent="0.3">
      <c r="B258" s="3" t="s">
        <v>1207</v>
      </c>
      <c r="C258" s="24">
        <f>COUNTIF('MINGALA_Cleaned Data'!YJ:YJ,"1")</f>
        <v>1</v>
      </c>
      <c r="D258" s="24">
        <f>COUNTIF('MINGALA_Cleaned Data'!YK:YK,"1")</f>
        <v>1</v>
      </c>
      <c r="E258" s="24">
        <f>COUNTIF('MINGALA_Cleaned Data'!YL:YL,"1")</f>
        <v>1</v>
      </c>
      <c r="F258" s="24">
        <f>COUNTIF('MINGALA_Cleaned Data'!YM:YM,"1")</f>
        <v>1</v>
      </c>
      <c r="G258" s="24">
        <f>COUNTIF('MINGALA_Cleaned Data'!YN:YN,"1")</f>
        <v>1</v>
      </c>
      <c r="H258" s="24">
        <f>COUNTIF('MINGALA_Cleaned Data'!YO:YO,"1")</f>
        <v>1</v>
      </c>
      <c r="I258" s="24">
        <f>COUNTIF('MINGALA_Cleaned Data'!YP:YP,"1")</f>
        <v>0</v>
      </c>
      <c r="J258" s="24">
        <f>COUNTIF('MINGALA_Cleaned Data'!YQ:YQ,"1")</f>
        <v>0</v>
      </c>
    </row>
    <row r="259" spans="1:10" ht="49" x14ac:dyDescent="0.3">
      <c r="B259" s="53" t="s">
        <v>3314</v>
      </c>
      <c r="C259" s="120">
        <f>C258/$B$253</f>
        <v>1</v>
      </c>
      <c r="D259" s="120">
        <f t="shared" ref="D259:J259" si="18">D258/$B$253</f>
        <v>1</v>
      </c>
      <c r="E259" s="120">
        <f t="shared" si="18"/>
        <v>1</v>
      </c>
      <c r="F259" s="120">
        <f t="shared" si="18"/>
        <v>1</v>
      </c>
      <c r="G259" s="120">
        <f t="shared" si="18"/>
        <v>1</v>
      </c>
      <c r="H259" s="120">
        <f t="shared" si="18"/>
        <v>1</v>
      </c>
      <c r="I259" s="120">
        <f t="shared" si="18"/>
        <v>0</v>
      </c>
      <c r="J259" s="120">
        <f t="shared" si="18"/>
        <v>0</v>
      </c>
    </row>
    <row r="261" spans="1:10" x14ac:dyDescent="0.3">
      <c r="B261" s="18" t="s">
        <v>1504</v>
      </c>
    </row>
    <row r="262" spans="1:10" x14ac:dyDescent="0.3">
      <c r="B262" s="3"/>
      <c r="C262" s="6" t="s">
        <v>1210</v>
      </c>
      <c r="D262" s="6" t="s">
        <v>1209</v>
      </c>
      <c r="E262" s="110" t="s">
        <v>1206</v>
      </c>
    </row>
    <row r="263" spans="1:10" x14ac:dyDescent="0.3">
      <c r="B263" s="3" t="s">
        <v>1207</v>
      </c>
      <c r="C263" s="4">
        <f>COUNTIF('MINGALA_Cleaned Data'!YS:YS,"oui")</f>
        <v>1</v>
      </c>
      <c r="D263" s="4">
        <f>COUNTIF('MINGALA_Cleaned Data'!YS:YS,"non")</f>
        <v>0</v>
      </c>
      <c r="E263" s="111">
        <f>SUM(C263:D263)</f>
        <v>1</v>
      </c>
    </row>
    <row r="264" spans="1:10" ht="49" x14ac:dyDescent="0.3">
      <c r="B264" s="53" t="s">
        <v>3314</v>
      </c>
      <c r="C264" s="7">
        <f>(C263/$B$253)</f>
        <v>1</v>
      </c>
      <c r="D264" s="7">
        <f>(D263/$B$253)</f>
        <v>0</v>
      </c>
      <c r="E264" s="100">
        <f>SUM(C264:D264)</f>
        <v>1</v>
      </c>
    </row>
    <row r="266" spans="1:10" x14ac:dyDescent="0.3">
      <c r="C266" s="18" t="s">
        <v>1262</v>
      </c>
      <c r="E266" s="103" t="s">
        <v>3245</v>
      </c>
    </row>
    <row r="267" spans="1:10" ht="28" x14ac:dyDescent="0.3">
      <c r="C267" s="3"/>
      <c r="D267" s="11" t="s">
        <v>1505</v>
      </c>
      <c r="E267" s="11" t="s">
        <v>1506</v>
      </c>
      <c r="F267" s="11" t="s">
        <v>1507</v>
      </c>
      <c r="G267" s="11" t="s">
        <v>1508</v>
      </c>
      <c r="H267" s="11" t="s">
        <v>1220</v>
      </c>
    </row>
    <row r="268" spans="1:10" x14ac:dyDescent="0.3">
      <c r="C268" s="3" t="s">
        <v>1207</v>
      </c>
      <c r="D268" s="24">
        <f>COUNTIF('MINGALA_Cleaned Data'!YU:YU,"1")</f>
        <v>0</v>
      </c>
      <c r="E268" s="24">
        <f>COUNTIF('MINGALA_Cleaned Data'!YV:YV,"1")</f>
        <v>0</v>
      </c>
      <c r="F268" s="24">
        <f>COUNTIF('MINGALA_Cleaned Data'!YW:YW,"1")</f>
        <v>1</v>
      </c>
      <c r="G268" s="24">
        <f>COUNTIF('MINGALA_Cleaned Data'!YX:YX,"1")</f>
        <v>0</v>
      </c>
      <c r="H268" s="24">
        <f>COUNTIF('MINGALA_Cleaned Data'!YY:YY,"1")</f>
        <v>0</v>
      </c>
    </row>
    <row r="269" spans="1:10" ht="60.5" x14ac:dyDescent="0.3">
      <c r="C269" s="53" t="s">
        <v>3314</v>
      </c>
      <c r="D269" s="7">
        <f>(D268/$B$253)</f>
        <v>0</v>
      </c>
      <c r="E269" s="7">
        <f t="shared" ref="E269:H269" si="19">(E268/$B$253)</f>
        <v>0</v>
      </c>
      <c r="F269" s="7">
        <f t="shared" si="19"/>
        <v>1</v>
      </c>
      <c r="G269" s="7">
        <f t="shared" si="19"/>
        <v>0</v>
      </c>
      <c r="H269" s="7">
        <f t="shared" si="19"/>
        <v>0</v>
      </c>
    </row>
    <row r="271" spans="1:10" ht="15.5" x14ac:dyDescent="0.35">
      <c r="A271" s="29" t="s">
        <v>1509</v>
      </c>
    </row>
    <row r="272" spans="1:10" x14ac:dyDescent="0.3">
      <c r="A272" s="3"/>
      <c r="B272" s="8" t="s">
        <v>1210</v>
      </c>
      <c r="C272" s="8" t="s">
        <v>1209</v>
      </c>
      <c r="D272" s="110" t="s">
        <v>1206</v>
      </c>
    </row>
    <row r="273" spans="1:4" x14ac:dyDescent="0.3">
      <c r="A273" s="3" t="s">
        <v>1207</v>
      </c>
      <c r="B273" s="4">
        <f>COUNTIF('MINGALA_Cleaned Data'!ZA:ZA,"OUI")</f>
        <v>1</v>
      </c>
      <c r="C273" s="4">
        <f>COUNTIF('MINGALA_Cleaned Data'!ZA:ZA,"non")</f>
        <v>0</v>
      </c>
      <c r="D273" s="111">
        <f>SUM(B273:C273)</f>
        <v>1</v>
      </c>
    </row>
    <row r="274" spans="1:4" ht="37.5" x14ac:dyDescent="0.3">
      <c r="A274" s="53" t="s">
        <v>3290</v>
      </c>
      <c r="B274" s="39">
        <f>(B273/$E$9)</f>
        <v>1</v>
      </c>
      <c r="C274" s="39">
        <f>(C273/$E$9)</f>
        <v>0</v>
      </c>
      <c r="D274" s="100">
        <f>SUM(B274:C274)</f>
        <v>1</v>
      </c>
    </row>
    <row r="275" spans="1:4" x14ac:dyDescent="0.3">
      <c r="D275" s="124"/>
    </row>
    <row r="276" spans="1:4" ht="15.5" x14ac:dyDescent="0.35">
      <c r="A276" s="29" t="s">
        <v>1511</v>
      </c>
    </row>
    <row r="277" spans="1:4" x14ac:dyDescent="0.3">
      <c r="A277" s="3"/>
      <c r="B277" s="8" t="s">
        <v>1210</v>
      </c>
      <c r="C277" s="8" t="s">
        <v>1209</v>
      </c>
      <c r="D277" s="110" t="s">
        <v>1206</v>
      </c>
    </row>
    <row r="278" spans="1:4" x14ac:dyDescent="0.3">
      <c r="A278" s="3" t="s">
        <v>1207</v>
      </c>
      <c r="B278" s="4">
        <f>COUNTIF('MINGALA_Cleaned Data'!ZF:ZF,"OUI")</f>
        <v>0</v>
      </c>
      <c r="C278" s="4">
        <f>COUNTIF('MINGALA_Cleaned Data'!ZF:ZF,"non")</f>
        <v>1</v>
      </c>
      <c r="D278" s="111">
        <f>SUM(B278:C278)</f>
        <v>1</v>
      </c>
    </row>
    <row r="279" spans="1:4" ht="37.5" x14ac:dyDescent="0.3">
      <c r="A279" s="53" t="s">
        <v>3290</v>
      </c>
      <c r="B279" s="39">
        <f>(B278/$E$9)</f>
        <v>0</v>
      </c>
      <c r="C279" s="39">
        <f>(C278/$E$9)</f>
        <v>1</v>
      </c>
      <c r="D279" s="100">
        <f>SUM(B279:C279)</f>
        <v>1</v>
      </c>
    </row>
    <row r="280" spans="1:4" x14ac:dyDescent="0.3">
      <c r="D280" s="124"/>
    </row>
    <row r="281" spans="1:4" ht="15.5" x14ac:dyDescent="0.35">
      <c r="A281" s="29" t="s">
        <v>1510</v>
      </c>
    </row>
    <row r="282" spans="1:4" x14ac:dyDescent="0.3">
      <c r="A282" s="3"/>
      <c r="B282" s="8" t="s">
        <v>1210</v>
      </c>
      <c r="C282" s="8" t="s">
        <v>1209</v>
      </c>
      <c r="D282" s="110" t="s">
        <v>1206</v>
      </c>
    </row>
    <row r="283" spans="1:4" x14ac:dyDescent="0.3">
      <c r="A283" s="3" t="s">
        <v>1207</v>
      </c>
      <c r="B283" s="4">
        <f>COUNTIF('MINGALA_Cleaned Data'!ZK:ZK,"OUI")</f>
        <v>0</v>
      </c>
      <c r="C283" s="4">
        <f>COUNTIF('MINGALA_Cleaned Data'!ZK:ZK,"non")</f>
        <v>1</v>
      </c>
      <c r="D283" s="111">
        <f>SUM(B283:C283)</f>
        <v>1</v>
      </c>
    </row>
    <row r="284" spans="1:4" ht="37.5" x14ac:dyDescent="0.3">
      <c r="A284" s="53" t="s">
        <v>3290</v>
      </c>
      <c r="B284" s="39">
        <f>(B283/$E$9)</f>
        <v>0</v>
      </c>
      <c r="C284" s="39">
        <f>(C283/$E$9)</f>
        <v>1</v>
      </c>
      <c r="D284" s="100">
        <f>SUM(B284:C284)</f>
        <v>1</v>
      </c>
    </row>
    <row r="285" spans="1:4" x14ac:dyDescent="0.3">
      <c r="D285" s="124"/>
    </row>
    <row r="286" spans="1:4" ht="15.5" x14ac:dyDescent="0.35">
      <c r="A286" s="29" t="s">
        <v>1512</v>
      </c>
    </row>
    <row r="287" spans="1:4" x14ac:dyDescent="0.3">
      <c r="A287" s="3"/>
      <c r="B287" s="8" t="s">
        <v>1210</v>
      </c>
      <c r="C287" s="8" t="s">
        <v>1209</v>
      </c>
      <c r="D287" s="110" t="s">
        <v>1206</v>
      </c>
    </row>
    <row r="288" spans="1:4" x14ac:dyDescent="0.3">
      <c r="A288" s="3" t="s">
        <v>1207</v>
      </c>
      <c r="B288" s="4">
        <f>COUNTIF('MINGALA_Cleaned Data'!ZL:ZL,"OUI")</f>
        <v>1</v>
      </c>
      <c r="C288" s="4">
        <f>COUNTIF('MINGALA_Cleaned Data'!ZL:ZL,"non")</f>
        <v>0</v>
      </c>
      <c r="D288" s="111">
        <f>SUM(B288:C288)</f>
        <v>1</v>
      </c>
    </row>
    <row r="289" spans="1:4" ht="37.5" x14ac:dyDescent="0.3">
      <c r="A289" s="53" t="s">
        <v>3290</v>
      </c>
      <c r="B289" s="39">
        <f>(B288/$E$9)</f>
        <v>1</v>
      </c>
      <c r="C289" s="39">
        <f>(C288/$E$9)</f>
        <v>0</v>
      </c>
      <c r="D289" s="100">
        <f>SUM(B289:C289)</f>
        <v>1</v>
      </c>
    </row>
    <row r="290" spans="1:4" x14ac:dyDescent="0.3">
      <c r="D290" s="124"/>
    </row>
    <row r="291" spans="1:4" ht="15.5" x14ac:dyDescent="0.35">
      <c r="A291" s="29" t="s">
        <v>1513</v>
      </c>
    </row>
    <row r="292" spans="1:4" x14ac:dyDescent="0.3">
      <c r="A292" s="3"/>
      <c r="B292" s="8" t="s">
        <v>1210</v>
      </c>
      <c r="C292" s="8" t="s">
        <v>1209</v>
      </c>
      <c r="D292" s="110" t="s">
        <v>1206</v>
      </c>
    </row>
    <row r="293" spans="1:4" x14ac:dyDescent="0.3">
      <c r="A293" s="3" t="s">
        <v>1207</v>
      </c>
      <c r="B293" s="4">
        <f>COUNTIF('MINGALA_Cleaned Data'!ZN:ZN,"OUI")</f>
        <v>0</v>
      </c>
      <c r="C293" s="4">
        <f>COUNTIF('MINGALA_Cleaned Data'!ZN:ZN,"non")</f>
        <v>1</v>
      </c>
      <c r="D293" s="111">
        <f>SUM(B293:C293)</f>
        <v>1</v>
      </c>
    </row>
    <row r="294" spans="1:4" ht="37.5" x14ac:dyDescent="0.3">
      <c r="A294" s="53" t="s">
        <v>3290</v>
      </c>
      <c r="B294" s="39">
        <f>(B293/$E$9)</f>
        <v>0</v>
      </c>
      <c r="C294" s="39">
        <f>(C293/$E$9)</f>
        <v>1</v>
      </c>
      <c r="D294" s="100">
        <f>SUM(B294:C294)</f>
        <v>1</v>
      </c>
    </row>
    <row r="295" spans="1:4" x14ac:dyDescent="0.3">
      <c r="D295" s="124"/>
    </row>
    <row r="296" spans="1:4" ht="15.5" x14ac:dyDescent="0.35">
      <c r="A296" s="29" t="s">
        <v>1514</v>
      </c>
    </row>
    <row r="297" spans="1:4" x14ac:dyDescent="0.3">
      <c r="A297" s="3"/>
      <c r="B297" s="8" t="s">
        <v>1210</v>
      </c>
      <c r="C297" s="8" t="s">
        <v>1209</v>
      </c>
      <c r="D297" s="110" t="s">
        <v>1206</v>
      </c>
    </row>
    <row r="298" spans="1:4" x14ac:dyDescent="0.3">
      <c r="A298" s="3" t="s">
        <v>1207</v>
      </c>
      <c r="B298" s="4">
        <f>COUNTIF('MINGALA_Cleaned Data'!ZO:ZO,"OUI")</f>
        <v>1</v>
      </c>
      <c r="C298" s="4">
        <f>COUNTIF('MINGALA_Cleaned Data'!ZO:ZO,"non")</f>
        <v>0</v>
      </c>
      <c r="D298" s="111">
        <f>SUM(B298:C298)</f>
        <v>1</v>
      </c>
    </row>
    <row r="299" spans="1:4" ht="37.5" x14ac:dyDescent="0.3">
      <c r="A299" s="53" t="s">
        <v>3290</v>
      </c>
      <c r="B299" s="39">
        <f>(B298/$E$9)</f>
        <v>1</v>
      </c>
      <c r="C299" s="39">
        <f>(C298/$E$9)</f>
        <v>0</v>
      </c>
      <c r="D299" s="100">
        <f>SUM(B299:C299)</f>
        <v>1</v>
      </c>
    </row>
    <row r="300" spans="1:4" x14ac:dyDescent="0.3">
      <c r="A300" s="97"/>
      <c r="B300" s="15"/>
      <c r="C300" s="15"/>
      <c r="D300" s="124"/>
    </row>
    <row r="301" spans="1:4" ht="15.5" x14ac:dyDescent="0.35">
      <c r="A301" s="29" t="s">
        <v>1515</v>
      </c>
    </row>
    <row r="302" spans="1:4" x14ac:dyDescent="0.3">
      <c r="A302" s="3"/>
      <c r="B302" s="8" t="s">
        <v>1210</v>
      </c>
      <c r="C302" s="8" t="s">
        <v>1209</v>
      </c>
      <c r="D302" s="110" t="s">
        <v>1206</v>
      </c>
    </row>
    <row r="303" spans="1:4" x14ac:dyDescent="0.3">
      <c r="A303" s="3" t="s">
        <v>1207</v>
      </c>
      <c r="B303" s="4">
        <f>COUNTIF('MINGALA_Cleaned Data'!ZQ:ZQ,"OUI")</f>
        <v>0</v>
      </c>
      <c r="C303" s="4">
        <f>COUNTIF('MINGALA_Cleaned Data'!ZQ:ZQ,"non")</f>
        <v>1</v>
      </c>
      <c r="D303" s="111">
        <f>SUM(B303:C303)</f>
        <v>1</v>
      </c>
    </row>
    <row r="304" spans="1:4" ht="37.5" x14ac:dyDescent="0.3">
      <c r="A304" s="53" t="s">
        <v>3290</v>
      </c>
      <c r="B304" s="39">
        <f>(B303/$E$9)</f>
        <v>0</v>
      </c>
      <c r="C304" s="39">
        <f>(C303/$E$9)</f>
        <v>1</v>
      </c>
      <c r="D304" s="100">
        <f>SUM(B304:C304)</f>
        <v>1</v>
      </c>
    </row>
  </sheetData>
  <mergeCells count="2">
    <mergeCell ref="A4:B4"/>
    <mergeCell ref="A138:D138"/>
  </mergeCells>
  <conditionalFormatting sqref="A94:M95 D99:M101 D105:M106 F102:M104 D110:M110 J107:M109 B92:N92 D116 D120:M120 L117:M119 F96:M98 F116:M116">
    <cfRule type="colorScale" priority="51">
      <colorScale>
        <cfvo type="min"/>
        <cfvo type="max"/>
        <color theme="6" tint="0.79998168889431442"/>
        <color theme="5" tint="0.39997558519241921"/>
      </colorScale>
    </cfRule>
  </conditionalFormatting>
  <conditionalFormatting sqref="B134:F134">
    <cfRule type="colorScale" priority="50">
      <colorScale>
        <cfvo type="min"/>
        <cfvo type="max"/>
        <color theme="6" tint="0.79998168889431442"/>
        <color theme="5" tint="0.39997558519241921"/>
      </colorScale>
    </cfRule>
  </conditionalFormatting>
  <conditionalFormatting sqref="D157:M157">
    <cfRule type="colorScale" priority="49">
      <colorScale>
        <cfvo type="min"/>
        <cfvo type="max"/>
        <color theme="6" tint="0.79998168889431442"/>
        <color theme="5" tint="0.39997558519241921"/>
      </colorScale>
    </cfRule>
  </conditionalFormatting>
  <conditionalFormatting sqref="B162:G162">
    <cfRule type="colorScale" priority="48">
      <colorScale>
        <cfvo type="min"/>
        <cfvo type="max"/>
        <color theme="6" tint="0.79998168889431442"/>
        <color theme="5" tint="0.39997558519241921"/>
      </colorScale>
    </cfRule>
  </conditionalFormatting>
  <conditionalFormatting sqref="B44:J44">
    <cfRule type="colorScale" priority="47">
      <colorScale>
        <cfvo type="min"/>
        <cfvo type="max"/>
        <color theme="6" tint="0.79998168889431442"/>
        <color theme="5" tint="0.39997558519241921"/>
      </colorScale>
    </cfRule>
  </conditionalFormatting>
  <conditionalFormatting sqref="D118:K118">
    <cfRule type="colorScale" priority="46">
      <colorScale>
        <cfvo type="min"/>
        <cfvo type="max"/>
        <color theme="6" tint="0.79998168889431442"/>
        <color theme="5" tint="0.39997558519241921"/>
      </colorScale>
    </cfRule>
  </conditionalFormatting>
  <conditionalFormatting sqref="B189:F189">
    <cfRule type="colorScale" priority="45">
      <colorScale>
        <cfvo type="min"/>
        <cfvo type="max"/>
        <color theme="6" tint="0.79998168889431442"/>
        <color theme="5" tint="0.39997558519241921"/>
      </colorScale>
    </cfRule>
  </conditionalFormatting>
  <conditionalFormatting sqref="A181:F182 B179:G179 E183:F185">
    <cfRule type="colorScale" priority="44">
      <colorScale>
        <cfvo type="min"/>
        <cfvo type="max"/>
        <color theme="6" tint="0.79998168889431442"/>
        <color theme="5" tint="0.39997558519241921"/>
      </colorScale>
    </cfRule>
  </conditionalFormatting>
  <conditionalFormatting sqref="A194:P194">
    <cfRule type="colorScale" priority="43">
      <colorScale>
        <cfvo type="min"/>
        <cfvo type="max"/>
        <color theme="6" tint="0.79998168889431442"/>
        <color theme="5" tint="0.39997558519241921"/>
      </colorScale>
    </cfRule>
  </conditionalFormatting>
  <conditionalFormatting sqref="A198:L198">
    <cfRule type="colorScale" priority="42">
      <colorScale>
        <cfvo type="min"/>
        <cfvo type="max"/>
        <color theme="6" tint="0.79998168889431442"/>
        <color theme="5" tint="0.39997558519241921"/>
      </colorScale>
    </cfRule>
  </conditionalFormatting>
  <conditionalFormatting sqref="A228:M228">
    <cfRule type="colorScale" priority="41">
      <colorScale>
        <cfvo type="min"/>
        <cfvo type="max"/>
        <color theme="6" tint="0.79998168889431442"/>
        <color theme="5" tint="0.39997558519241921"/>
      </colorScale>
    </cfRule>
  </conditionalFormatting>
  <conditionalFormatting sqref="C238:J238">
    <cfRule type="colorScale" priority="40">
      <colorScale>
        <cfvo type="min"/>
        <cfvo type="max"/>
        <color theme="6" tint="0.79998168889431442"/>
        <color theme="5" tint="0.39997558519241921"/>
      </colorScale>
    </cfRule>
  </conditionalFormatting>
  <conditionalFormatting sqref="C258:J258">
    <cfRule type="colorScale" priority="39">
      <colorScale>
        <cfvo type="min"/>
        <cfvo type="max"/>
        <color theme="6" tint="0.79998168889431442"/>
        <color theme="5" tint="0.39997558519241921"/>
      </colorScale>
    </cfRule>
  </conditionalFormatting>
  <conditionalFormatting sqref="D268:H268">
    <cfRule type="colorScale" priority="38">
      <colorScale>
        <cfvo type="min"/>
        <cfvo type="max"/>
        <color theme="6" tint="0.79998168889431442"/>
        <color theme="5" tint="0.39997558519241921"/>
      </colorScale>
    </cfRule>
  </conditionalFormatting>
  <conditionalFormatting sqref="B9:D9">
    <cfRule type="colorScale" priority="37">
      <colorScale>
        <cfvo type="min"/>
        <cfvo type="max"/>
        <color theme="6" tint="0.79998168889431442"/>
        <color theme="5" tint="0.39997558519241921"/>
      </colorScale>
    </cfRule>
  </conditionalFormatting>
  <conditionalFormatting sqref="C14:M14">
    <cfRule type="colorScale" priority="36">
      <colorScale>
        <cfvo type="min"/>
        <cfvo type="max"/>
        <color theme="6" tint="0.79998168889431442"/>
        <color theme="5" tint="0.39997558519241921"/>
      </colorScale>
    </cfRule>
  </conditionalFormatting>
  <conditionalFormatting sqref="C19:G19">
    <cfRule type="colorScale" priority="35">
      <colorScale>
        <cfvo type="min"/>
        <cfvo type="max"/>
        <color theme="6" tint="0.79998168889431442"/>
        <color theme="5" tint="0.39997558519241921"/>
      </colorScale>
    </cfRule>
  </conditionalFormatting>
  <conditionalFormatting sqref="C29:G29">
    <cfRule type="colorScale" priority="34">
      <colorScale>
        <cfvo type="min"/>
        <cfvo type="max"/>
        <color theme="6" tint="0.79998168889431442"/>
        <color theme="5" tint="0.39997558519241921"/>
      </colorScale>
    </cfRule>
  </conditionalFormatting>
  <conditionalFormatting sqref="B49:D49">
    <cfRule type="colorScale" priority="33">
      <colorScale>
        <cfvo type="min"/>
        <cfvo type="max"/>
        <color theme="6" tint="0.79998168889431442"/>
        <color theme="5" tint="0.39997558519241921"/>
      </colorScale>
    </cfRule>
  </conditionalFormatting>
  <conditionalFormatting sqref="C57:D57">
    <cfRule type="colorScale" priority="32">
      <colorScale>
        <cfvo type="min"/>
        <cfvo type="max"/>
        <color theme="6" tint="0.79998168889431442"/>
        <color theme="5" tint="0.39997558519241921"/>
      </colorScale>
    </cfRule>
  </conditionalFormatting>
  <conditionalFormatting sqref="C66:D66">
    <cfRule type="colorScale" priority="31">
      <colorScale>
        <cfvo type="min"/>
        <cfvo type="max"/>
        <color theme="6" tint="0.79998168889431442"/>
        <color theme="5" tint="0.39997558519241921"/>
      </colorScale>
    </cfRule>
  </conditionalFormatting>
  <conditionalFormatting sqref="B71:C71">
    <cfRule type="colorScale" priority="30">
      <colorScale>
        <cfvo type="min"/>
        <cfvo type="max"/>
        <color theme="6" tint="0.79998168889431442"/>
        <color theme="5" tint="0.39997558519241921"/>
      </colorScale>
    </cfRule>
  </conditionalFormatting>
  <conditionalFormatting sqref="B81:C81">
    <cfRule type="colorScale" priority="29">
      <colorScale>
        <cfvo type="min"/>
        <cfvo type="max"/>
        <color theme="6" tint="0.79998168889431442"/>
        <color theme="5" tint="0.39997558519241921"/>
      </colorScale>
    </cfRule>
  </conditionalFormatting>
  <conditionalFormatting sqref="B34:C34">
    <cfRule type="colorScale" priority="28">
      <colorScale>
        <cfvo type="min"/>
        <cfvo type="max"/>
        <color theme="6" tint="0.79998168889431442"/>
        <color theme="5" tint="0.39997558519241921"/>
      </colorScale>
    </cfRule>
  </conditionalFormatting>
  <conditionalFormatting sqref="C39:E39">
    <cfRule type="colorScale" priority="27">
      <colorScale>
        <cfvo type="min"/>
        <cfvo type="max"/>
        <color theme="6" tint="0.79998168889431442"/>
        <color theme="5" tint="0.39997558519241921"/>
      </colorScale>
    </cfRule>
  </conditionalFormatting>
  <conditionalFormatting sqref="B129:C129">
    <cfRule type="colorScale" priority="26">
      <colorScale>
        <cfvo type="min"/>
        <cfvo type="max"/>
        <color theme="6" tint="0.79998168889431442"/>
        <color theme="5" tint="0.39997558519241921"/>
      </colorScale>
    </cfRule>
  </conditionalFormatting>
  <conditionalFormatting sqref="B142:C142">
    <cfRule type="colorScale" priority="25">
      <colorScale>
        <cfvo type="min"/>
        <cfvo type="max"/>
        <color theme="6" tint="0.79998168889431442"/>
        <color theme="5" tint="0.39997558519241921"/>
      </colorScale>
    </cfRule>
  </conditionalFormatting>
  <conditionalFormatting sqref="D154:J154">
    <cfRule type="colorScale" priority="24">
      <colorScale>
        <cfvo type="min"/>
        <cfvo type="max"/>
        <color theme="6" tint="0.79998168889431442"/>
        <color theme="5" tint="0.39997558519241921"/>
      </colorScale>
    </cfRule>
  </conditionalFormatting>
  <conditionalFormatting sqref="D152:J152">
    <cfRule type="colorScale" priority="23">
      <colorScale>
        <cfvo type="min"/>
        <cfvo type="max"/>
        <color theme="6" tint="0.79998168889431442"/>
        <color theme="5" tint="0.39997558519241921"/>
      </colorScale>
    </cfRule>
  </conditionalFormatting>
  <conditionalFormatting sqref="C103:D103">
    <cfRule type="colorScale" priority="22">
      <colorScale>
        <cfvo type="min"/>
        <cfvo type="max"/>
        <color theme="6" tint="0.79998168889431442"/>
        <color theme="5" tint="0.39997558519241921"/>
      </colorScale>
    </cfRule>
  </conditionalFormatting>
  <conditionalFormatting sqref="K115:M115 D111 L112:M114 F111:M111">
    <cfRule type="colorScale" priority="21">
      <colorScale>
        <cfvo type="min"/>
        <cfvo type="max"/>
        <color theme="6" tint="0.79998168889431442"/>
        <color theme="5" tint="0.39997558519241921"/>
      </colorScale>
    </cfRule>
  </conditionalFormatting>
  <conditionalFormatting sqref="D115:J115 D113:K113">
    <cfRule type="colorScale" priority="20">
      <colorScale>
        <cfvo type="min"/>
        <cfvo type="max"/>
        <color theme="6" tint="0.79998168889431442"/>
        <color theme="5" tint="0.39997558519241921"/>
      </colorScale>
    </cfRule>
  </conditionalFormatting>
  <conditionalFormatting sqref="B184:C184">
    <cfRule type="colorScale" priority="19">
      <colorScale>
        <cfvo type="min"/>
        <cfvo type="max"/>
        <color theme="6" tint="0.79998168889431442"/>
        <color theme="5" tint="0.39997558519241921"/>
      </colorScale>
    </cfRule>
  </conditionalFormatting>
  <conditionalFormatting sqref="B202:C202">
    <cfRule type="colorScale" priority="18">
      <colorScale>
        <cfvo type="min"/>
        <cfvo type="max"/>
        <color theme="6" tint="0.79998168889431442"/>
        <color theme="5" tint="0.39997558519241921"/>
      </colorScale>
    </cfRule>
  </conditionalFormatting>
  <conditionalFormatting sqref="C213:O213">
    <cfRule type="colorScale" priority="17">
      <colorScale>
        <cfvo type="min"/>
        <cfvo type="max"/>
        <color theme="6" tint="0.79998168889431442"/>
        <color theme="5" tint="0.39997558519241921"/>
      </colorScale>
    </cfRule>
  </conditionalFormatting>
  <conditionalFormatting sqref="D223:H223">
    <cfRule type="colorScale" priority="16">
      <colorScale>
        <cfvo type="min"/>
        <cfvo type="max"/>
        <color theme="6" tint="0.79998168889431442"/>
        <color theme="5" tint="0.39997558519241921"/>
      </colorScale>
    </cfRule>
  </conditionalFormatting>
  <conditionalFormatting sqref="C207:I207">
    <cfRule type="colorScale" priority="15">
      <colorScale>
        <cfvo type="min"/>
        <cfvo type="max"/>
        <color theme="6" tint="0.79998168889431442"/>
        <color theme="5" tint="0.39997558519241921"/>
      </colorScale>
    </cfRule>
  </conditionalFormatting>
  <conditionalFormatting sqref="C218:D218">
    <cfRule type="colorScale" priority="14">
      <colorScale>
        <cfvo type="min"/>
        <cfvo type="max"/>
        <color theme="6" tint="0.79998168889431442"/>
        <color theme="5" tint="0.39997558519241921"/>
      </colorScale>
    </cfRule>
  </conditionalFormatting>
  <conditionalFormatting sqref="B233:C233">
    <cfRule type="colorScale" priority="13">
      <colorScale>
        <cfvo type="min"/>
        <cfvo type="max"/>
        <color theme="6" tint="0.79998168889431442"/>
        <color theme="5" tint="0.39997558519241921"/>
      </colorScale>
    </cfRule>
  </conditionalFormatting>
  <conditionalFormatting sqref="B243:C243">
    <cfRule type="colorScale" priority="12">
      <colorScale>
        <cfvo type="min"/>
        <cfvo type="max"/>
        <color theme="6" tint="0.79998168889431442"/>
        <color theme="5" tint="0.39997558519241921"/>
      </colorScale>
    </cfRule>
  </conditionalFormatting>
  <conditionalFormatting sqref="B248:C248">
    <cfRule type="colorScale" priority="11">
      <colorScale>
        <cfvo type="min"/>
        <cfvo type="max"/>
        <color theme="6" tint="0.79998168889431442"/>
        <color theme="5" tint="0.39997558519241921"/>
      </colorScale>
    </cfRule>
  </conditionalFormatting>
  <conditionalFormatting sqref="B253:C253">
    <cfRule type="colorScale" priority="10">
      <colorScale>
        <cfvo type="min"/>
        <cfvo type="max"/>
        <color theme="6" tint="0.79998168889431442"/>
        <color theme="5" tint="0.39997558519241921"/>
      </colorScale>
    </cfRule>
  </conditionalFormatting>
  <conditionalFormatting sqref="C263:D263">
    <cfRule type="colorScale" priority="9">
      <colorScale>
        <cfvo type="min"/>
        <cfvo type="max"/>
        <color theme="6" tint="0.79998168889431442"/>
        <color theme="5" tint="0.39997558519241921"/>
      </colorScale>
    </cfRule>
  </conditionalFormatting>
  <conditionalFormatting sqref="B123:G123">
    <cfRule type="colorScale" priority="8">
      <colorScale>
        <cfvo type="min"/>
        <cfvo type="max"/>
        <color theme="6" tint="0.79998168889431442"/>
        <color theme="5" tint="0.39997558519241921"/>
      </colorScale>
    </cfRule>
  </conditionalFormatting>
  <conditionalFormatting sqref="C86:F86">
    <cfRule type="colorScale" priority="7">
      <colorScale>
        <cfvo type="min"/>
        <cfvo type="max"/>
        <color theme="6" tint="0.79998168889431442"/>
        <color theme="5" tint="0.39997558519241921"/>
      </colorScale>
    </cfRule>
  </conditionalFormatting>
  <conditionalFormatting sqref="B97:D97">
    <cfRule type="colorScale" priority="6">
      <colorScale>
        <cfvo type="min"/>
        <cfvo type="max"/>
        <color theme="6" tint="0.79998168889431442"/>
        <color theme="5" tint="0.39997558519241921"/>
      </colorScale>
    </cfRule>
  </conditionalFormatting>
  <conditionalFormatting sqref="C147:F147">
    <cfRule type="colorScale" priority="5">
      <colorScale>
        <cfvo type="min"/>
        <cfvo type="max"/>
        <color theme="6" tint="0.79998168889431442"/>
        <color theme="5" tint="0.39997558519241921"/>
      </colorScale>
    </cfRule>
  </conditionalFormatting>
  <conditionalFormatting sqref="C24:J24">
    <cfRule type="colorScale" priority="4">
      <colorScale>
        <cfvo type="min"/>
        <cfvo type="max"/>
        <color theme="6" tint="0.79998168889431442"/>
        <color theme="5" tint="0.39997558519241921"/>
      </colorScale>
    </cfRule>
  </conditionalFormatting>
  <conditionalFormatting sqref="K24">
    <cfRule type="colorScale" priority="3">
      <colorScale>
        <cfvo type="min"/>
        <cfvo type="max"/>
        <color theme="6" tint="0.79998168889431442"/>
        <color theme="5" tint="0.39997558519241921"/>
      </colorScale>
    </cfRule>
  </conditionalFormatting>
  <conditionalFormatting sqref="L24">
    <cfRule type="colorScale" priority="2">
      <colorScale>
        <cfvo type="min"/>
        <cfvo type="max"/>
        <color theme="6" tint="0.79998168889431442"/>
        <color theme="5" tint="0.39997558519241921"/>
      </colorScale>
    </cfRule>
  </conditionalFormatting>
  <conditionalFormatting sqref="C76:G76">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Z208"/>
  <sheetViews>
    <sheetView zoomScale="90" zoomScaleNormal="90" workbookViewId="0">
      <selection activeCell="K194" sqref="K194"/>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COUNTIFS('MINGALA_Cleaned Data'!N:N,"education",'MINGALA_Cleaned Data'!K:K,"MINGALA")</f>
        <v>2</v>
      </c>
    </row>
    <row r="5" spans="1:7" ht="15.5" x14ac:dyDescent="0.35">
      <c r="A5" s="29" t="s">
        <v>1933</v>
      </c>
    </row>
    <row r="6" spans="1:7" ht="42" x14ac:dyDescent="0.3">
      <c r="A6" s="3"/>
      <c r="B6" s="8" t="s">
        <v>1275</v>
      </c>
      <c r="C6" s="8" t="s">
        <v>1276</v>
      </c>
      <c r="D6" s="8" t="s">
        <v>1277</v>
      </c>
      <c r="E6" s="8" t="s">
        <v>3337</v>
      </c>
      <c r="F6" s="51" t="s">
        <v>3274</v>
      </c>
    </row>
    <row r="7" spans="1:7" x14ac:dyDescent="0.3">
      <c r="A7" s="3" t="s">
        <v>1207</v>
      </c>
      <c r="B7" s="4">
        <f>COUNTIF('MINGALA_Cleaned Data'!YK:ZT,"public")</f>
        <v>2</v>
      </c>
      <c r="C7" s="4">
        <f>COUNTIF('MINGALA_Cleaned Data'!ZT:ZT,"prive")</f>
        <v>0</v>
      </c>
      <c r="D7" s="4">
        <f>COUNTIF('MINGALA_Cleaned Data'!ZT:ZT,"religieux")</f>
        <v>0</v>
      </c>
      <c r="E7" s="4">
        <f>COUNTIF('MINGALA_Cleaned Data'!ZT:ZT,"communautaire")</f>
        <v>0</v>
      </c>
      <c r="F7" s="52">
        <f>SUM(B7:E7)</f>
        <v>2</v>
      </c>
    </row>
    <row r="8" spans="1:7" ht="26" x14ac:dyDescent="0.3">
      <c r="A8" s="53" t="s">
        <v>3273</v>
      </c>
      <c r="B8" s="7">
        <f>(B7/$B$3)</f>
        <v>1</v>
      </c>
      <c r="C8" s="7">
        <f t="shared" ref="C8:D8" si="0">(C7/$B$3)</f>
        <v>0</v>
      </c>
      <c r="D8" s="7">
        <f t="shared" si="0"/>
        <v>0</v>
      </c>
      <c r="E8" s="7">
        <f t="shared" ref="E8" si="1">(E7/$B$3)</f>
        <v>0</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COUNTIF('MINGALA_Cleaned Data'!ABE:ABE,"f1")</f>
        <v>2</v>
      </c>
      <c r="C12" s="4">
        <f>COUNTIF('MINGALA_Cleaned Data'!ABE:ABE,"f2")</f>
        <v>0</v>
      </c>
      <c r="D12" s="4">
        <f>COUNTIF('MINGALA_Cleaned Data'!ABE:ABE,"etp")</f>
        <v>0</v>
      </c>
      <c r="E12" s="4">
        <f>COUNTIF('MINGALA_Cleaned Data'!ABE:ABE,"coranique")</f>
        <v>0</v>
      </c>
      <c r="F12" s="4">
        <f>COUNTIF('MINGALA_Cleaned Data'!ABH:ABH,"autre")</f>
        <v>0</v>
      </c>
      <c r="G12" s="111">
        <f>SUM(B12:F12)</f>
        <v>2</v>
      </c>
    </row>
    <row r="13" spans="1:7" ht="26" x14ac:dyDescent="0.3">
      <c r="A13" s="53" t="s">
        <v>3273</v>
      </c>
      <c r="B13" s="7">
        <f>(B12/$B$3)</f>
        <v>1</v>
      </c>
      <c r="C13" s="7">
        <f t="shared" ref="C13:F13" si="2">(C12/$B$3)</f>
        <v>0</v>
      </c>
      <c r="D13" s="7">
        <f t="shared" si="2"/>
        <v>0</v>
      </c>
      <c r="E13" s="7">
        <f t="shared" si="2"/>
        <v>0</v>
      </c>
      <c r="F13" s="7">
        <f t="shared" si="2"/>
        <v>0</v>
      </c>
      <c r="G13" s="116">
        <f>SUM(B13:F13)</f>
        <v>1</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COUNTIF('MINGALA_Cleaned Data'!ZV:ZV,"durable")</f>
        <v>1</v>
      </c>
      <c r="C18" s="4">
        <f>COUNTIF('MINGALA_Cleaned Data'!ZV:ZV,"hangar")</f>
        <v>0</v>
      </c>
      <c r="D18" s="4">
        <f>COUNTIF('MINGALA_Cleaned Data'!ZV:ZV,"hangar_traditionnel")</f>
        <v>1</v>
      </c>
      <c r="E18" s="111">
        <f>SUM(B18:D18)</f>
        <v>2</v>
      </c>
    </row>
    <row r="19" spans="1:26" ht="26" x14ac:dyDescent="0.3">
      <c r="A19" s="53" t="s">
        <v>3273</v>
      </c>
      <c r="B19" s="7">
        <f>B18/$B$3</f>
        <v>0.5</v>
      </c>
      <c r="C19" s="7">
        <f t="shared" ref="C19:D19" si="3">C18/$B$3</f>
        <v>0</v>
      </c>
      <c r="D19" s="7">
        <f t="shared" si="3"/>
        <v>0.5</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COUNTIF('MINGALA_Cleaned Data'!ZX:ZX,"Oui")</f>
        <v>1</v>
      </c>
      <c r="C23" s="4">
        <f>COUNTIF('MINGALA_Cleaned Data'!ZX:ZX,"non")</f>
        <v>0</v>
      </c>
      <c r="D23" s="4">
        <f>COUNTIF('MINGALA_Cleaned Data'!ZX:ZX,"partiel")</f>
        <v>1</v>
      </c>
      <c r="E23" s="72">
        <f>B23+D23</f>
        <v>2</v>
      </c>
    </row>
    <row r="24" spans="1:26" ht="26" x14ac:dyDescent="0.3">
      <c r="A24" s="53" t="s">
        <v>3273</v>
      </c>
      <c r="B24" s="7">
        <f>B23/$B$3</f>
        <v>0.5</v>
      </c>
      <c r="C24" s="7">
        <f t="shared" ref="C24:D24" si="4">C23/$B$3</f>
        <v>0</v>
      </c>
      <c r="D24" s="7">
        <f t="shared" si="4"/>
        <v>0.5</v>
      </c>
      <c r="E24" s="119">
        <f>B24+D24</f>
        <v>1</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COUNTIF('MINGALA_Cleaned Data'!AAK:AAK,"1")</f>
        <v>0</v>
      </c>
      <c r="D28" s="3">
        <f>COUNTIF('MINGALA_Cleaned Data'!AAL:AAL,"1")</f>
        <v>0</v>
      </c>
      <c r="E28" s="3">
        <f>COUNTIF('MINGALA_Cleaned Data'!AAM:AAM,"1")</f>
        <v>0</v>
      </c>
      <c r="F28" s="3">
        <f>COUNTIF('MINGALA_Cleaned Data'!AAN:AAN,"1")</f>
        <v>0</v>
      </c>
      <c r="G28" s="3">
        <f>COUNTIF('MINGALA_Cleaned Data'!AAO:AAO,"1")</f>
        <v>0</v>
      </c>
      <c r="H28" s="3">
        <f>COUNTIF('MINGALA_Cleaned Data'!AAP:AAP,"1")</f>
        <v>0</v>
      </c>
      <c r="I28" s="3">
        <f>COUNTIF('MINGALA_Cleaned Data'!AAQ:AAQ,"1")</f>
        <v>0</v>
      </c>
      <c r="J28" s="3">
        <f>COUNTIF('MINGALA_Cleaned Data'!AAR:AAR,"1")</f>
        <v>0</v>
      </c>
      <c r="K28" s="3">
        <f>COUNTIF('MINGALA_Cleaned Data'!AAS:AAS,"1")</f>
        <v>0</v>
      </c>
    </row>
    <row r="29" spans="1:26" ht="37.5" x14ac:dyDescent="0.3">
      <c r="B29" s="53" t="s">
        <v>3275</v>
      </c>
      <c r="C29" s="7" t="e">
        <f>C28/$C$23</f>
        <v>#DIV/0!</v>
      </c>
      <c r="D29" s="7" t="e">
        <f t="shared" ref="D29:K29" si="5">D28/$C$23</f>
        <v>#DIV/0!</v>
      </c>
      <c r="E29" s="7" t="e">
        <f t="shared" si="5"/>
        <v>#DIV/0!</v>
      </c>
      <c r="F29" s="7" t="e">
        <f t="shared" si="5"/>
        <v>#DIV/0!</v>
      </c>
      <c r="G29" s="7" t="e">
        <f t="shared" si="5"/>
        <v>#DIV/0!</v>
      </c>
      <c r="H29" s="7" t="e">
        <f t="shared" si="5"/>
        <v>#DIV/0!</v>
      </c>
      <c r="I29" s="7" t="e">
        <f t="shared" si="5"/>
        <v>#DIV/0!</v>
      </c>
      <c r="J29" s="7" t="e">
        <f t="shared" si="5"/>
        <v>#DIV/0!</v>
      </c>
      <c r="K29" s="7" t="e">
        <f t="shared" si="5"/>
        <v>#DIV/0!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COUNTIF('MINGALA_Cleaned Data'!AAU:AAU,"moins_six_mois")</f>
        <v>0</v>
      </c>
      <c r="D33" s="3">
        <f>COUNTIF('MINGALA_Cleaned Data'!AAU:AAU,"six_mois_un_an ")</f>
        <v>0</v>
      </c>
      <c r="E33" s="3">
        <f>COUNTIF('MINGALA_Cleaned Data'!AAU:AAU,"un_an_trois_ans")</f>
        <v>0</v>
      </c>
      <c r="F33" s="3">
        <f>COUNTIF('MINGALA_Cleaned Data'!AAU:AAU,"plus_trois_ans")</f>
        <v>0</v>
      </c>
      <c r="G33" s="3">
        <f>COUNTIF('MINGALA_Cleaned Data'!AAU:AAU,"nsp")</f>
        <v>0</v>
      </c>
      <c r="H33" s="111">
        <f>SUM(C33:G33)</f>
        <v>0</v>
      </c>
      <c r="I33" s="10"/>
      <c r="J33" s="10"/>
      <c r="K33" s="74" t="s">
        <v>2310</v>
      </c>
      <c r="L33" s="10"/>
      <c r="M33" s="10"/>
      <c r="N33" s="10"/>
      <c r="O33" s="10"/>
      <c r="P33" s="10"/>
      <c r="Q33" s="10"/>
      <c r="R33" s="10"/>
      <c r="S33" s="10"/>
      <c r="T33" s="10"/>
      <c r="U33" s="10"/>
      <c r="V33" s="10"/>
      <c r="W33" s="10"/>
      <c r="X33" s="10"/>
      <c r="Y33" s="10"/>
      <c r="Z33" s="10"/>
    </row>
    <row r="34" spans="1:26" ht="37.5" x14ac:dyDescent="0.3">
      <c r="B34" s="53" t="s">
        <v>3275</v>
      </c>
      <c r="C34" s="7" t="e">
        <f>C33/$C$23</f>
        <v>#DIV/0!</v>
      </c>
      <c r="D34" s="7" t="e">
        <f t="shared" ref="D34:G34" si="6">D33/$C$23</f>
        <v>#DIV/0!</v>
      </c>
      <c r="E34" s="7" t="e">
        <f t="shared" si="6"/>
        <v>#DIV/0!</v>
      </c>
      <c r="F34" s="7" t="e">
        <f t="shared" si="6"/>
        <v>#DIV/0!</v>
      </c>
      <c r="G34" s="7" t="e">
        <f t="shared" si="6"/>
        <v>#DIV/0!</v>
      </c>
      <c r="H34" s="116" t="e">
        <f>SUM(C34:G34)</f>
        <v>#DIV/0!</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COUNTIF('MINGALA_Cleaned Data'!ZZ:ZZ,"1")</f>
        <v>0</v>
      </c>
      <c r="D38" s="3">
        <f>COUNTIF('MINGALA_Cleaned Data'!AAA:AAA,"1")</f>
        <v>1</v>
      </c>
      <c r="E38" s="3">
        <f>COUNTIF('MINGALA_Cleaned Data'!AAB:AAB,"1")</f>
        <v>0</v>
      </c>
      <c r="F38" s="3">
        <f>COUNTIF('MINGALA_Cleaned Data'!AAC:AAC,"1")</f>
        <v>0</v>
      </c>
      <c r="G38" s="3">
        <f>COUNTIF('MINGALA_Cleaned Data'!AAD:AAD,"1")</f>
        <v>0</v>
      </c>
      <c r="H38" s="3">
        <f>COUNTIF('MINGALA_Cleaned Data'!AAE:AAE,"1")</f>
        <v>0</v>
      </c>
      <c r="I38" s="3">
        <f>COUNTIF('MINGALA_Cleaned Data'!AAF:AAF,"1")</f>
        <v>0</v>
      </c>
      <c r="J38" s="3">
        <f>COUNTIF('MINGALA_Cleaned Data'!AAG:AAG,"1")</f>
        <v>0</v>
      </c>
    </row>
    <row r="39" spans="1:26" ht="49" x14ac:dyDescent="0.3">
      <c r="B39" s="53" t="s">
        <v>3276</v>
      </c>
      <c r="C39" s="7">
        <f>C38/$D$23</f>
        <v>0</v>
      </c>
      <c r="D39" s="7">
        <f t="shared" ref="D39:J39" si="7">D38/$D$23</f>
        <v>1</v>
      </c>
      <c r="E39" s="7">
        <f t="shared" si="7"/>
        <v>0</v>
      </c>
      <c r="F39" s="7">
        <f t="shared" si="7"/>
        <v>0</v>
      </c>
      <c r="G39" s="7">
        <f t="shared" si="7"/>
        <v>0</v>
      </c>
      <c r="H39" s="7">
        <f t="shared" si="7"/>
        <v>0</v>
      </c>
      <c r="I39" s="7">
        <f t="shared" si="7"/>
        <v>0</v>
      </c>
      <c r="J39" s="7">
        <f t="shared" si="7"/>
        <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COUNTIF('MINGALA_Cleaned Data'!AAI:AAI,"moins_six_mois")</f>
        <v>0</v>
      </c>
      <c r="D43" s="3">
        <f>COUNTIF('MINGALA_Cleaned Data'!AAI:AAI,"six_mois_un_an ")</f>
        <v>0</v>
      </c>
      <c r="E43" s="3">
        <f>COUNTIF('MINGALA_Cleaned Data'!AAI:AAI,"un_an_trois_ans")</f>
        <v>0</v>
      </c>
      <c r="F43" s="3">
        <f>COUNTIF('MINGALA_Cleaned Data'!AAI:AAI,"plus_trois_ans")</f>
        <v>1</v>
      </c>
      <c r="G43" s="3">
        <f>COUNTIF('MINGALA_Cleaned Data'!AAI:AAI,"nsp")</f>
        <v>0</v>
      </c>
      <c r="H43" s="111">
        <f>SUM(C43:G43)</f>
        <v>1</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f>C43/$D$23</f>
        <v>0</v>
      </c>
      <c r="D44" s="7">
        <f t="shared" ref="D44:G44" si="8">D43/$D$23</f>
        <v>0</v>
      </c>
      <c r="E44" s="7">
        <f t="shared" si="8"/>
        <v>0</v>
      </c>
      <c r="F44" s="7">
        <f t="shared" si="8"/>
        <v>1</v>
      </c>
      <c r="G44" s="7">
        <f t="shared" si="8"/>
        <v>0</v>
      </c>
      <c r="H44" s="116">
        <f>SUM(C44:G44)</f>
        <v>1</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COUNTIF('MINGALA_Cleaned Data'!AAW:AAW,"1")</f>
        <v>0</v>
      </c>
      <c r="C48" s="4">
        <f>COUNTIF('MINGALA_Cleaned Data'!AAX:AAX,"1")</f>
        <v>0</v>
      </c>
      <c r="D48" s="4">
        <f>COUNTIF('MINGALA_Cleaned Data'!AAY:AAY,"1")</f>
        <v>0</v>
      </c>
      <c r="E48" s="4">
        <f>COUNTIF('MINGALA_Cleaned Data'!AAZ:AAZ,"1")</f>
        <v>0</v>
      </c>
      <c r="F48" s="4">
        <f>COUNTIF('MINGALA_Cleaned Data'!ABA:ABA,"1")</f>
        <v>0</v>
      </c>
      <c r="G48" s="4">
        <f>COUNTIF('MINGALA_Cleaned Data'!ABB:ABB,"1")</f>
        <v>0</v>
      </c>
      <c r="H48" s="4">
        <f>COUNTIF('MINGALA_Cleaned Data'!ABC:ABC,"1")</f>
        <v>0</v>
      </c>
      <c r="J48" s="87" t="s">
        <v>2309</v>
      </c>
    </row>
    <row r="49" spans="1:12" ht="40" customHeight="1" x14ac:dyDescent="0.3">
      <c r="A49" s="54" t="s">
        <v>1956</v>
      </c>
      <c r="B49" s="7" t="e">
        <f>B48/SUM(C28,C38)</f>
        <v>#DIV/0!</v>
      </c>
      <c r="C49" s="7" t="e">
        <f>C48/SUM(C28,C38)</f>
        <v>#DIV/0!</v>
      </c>
      <c r="D49" s="7" t="e">
        <f>D48/SUM(C28,C38)</f>
        <v>#DIV/0!</v>
      </c>
      <c r="E49" s="7" t="e">
        <f>E48/SUM(C28,C38)</f>
        <v>#DIV/0!</v>
      </c>
      <c r="F49" s="7" t="e">
        <f>F48/SUM(C28,C38)</f>
        <v>#DIV/0!</v>
      </c>
      <c r="G49" s="7" t="e">
        <f>G48/SUM(C28,C38)</f>
        <v>#DIV/0!</v>
      </c>
      <c r="H49" s="7" t="e">
        <f>H48/SUM(C28,C38)</f>
        <v>#DIV/0!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COUNTIF('MINGALA_Cleaned Data'!ABM:ABM,"1")</f>
        <v>0</v>
      </c>
      <c r="C53" s="4">
        <f>COUNTIF('MINGALA_Cleaned Data'!ABN:ABN,"1")</f>
        <v>0</v>
      </c>
      <c r="D53" s="4">
        <f>COUNTIF('MINGALA_Cleaned Data'!ABO:ABO,"1")</f>
        <v>1</v>
      </c>
      <c r="E53" s="4">
        <f>COUNTIF('MINGALA_Cleaned Data'!ABP:ABP,"1")</f>
        <v>0</v>
      </c>
      <c r="F53" s="4">
        <f>COUNTIF('MINGALA_Cleaned Data'!ABQ:ABQ,"1")</f>
        <v>0</v>
      </c>
      <c r="G53" s="4">
        <f>COUNTIF('MINGALA_Cleaned Data'!ABR:ABR,"1")</f>
        <v>0</v>
      </c>
      <c r="H53" s="4">
        <f>COUNTIF('MINGALA_Cleaned Data'!ABX:ABX,"1")</f>
        <v>0</v>
      </c>
      <c r="I53" s="4">
        <f>COUNTIF('MINGALA_Cleaned Data'!ABT:ABT,"1")</f>
        <v>0</v>
      </c>
      <c r="J53" s="4">
        <f>COUNTIF('MINGALA_Cleaned Data'!ABU:ABU,"1")</f>
        <v>1</v>
      </c>
      <c r="K53" s="4">
        <f>COUNTIF('MINGALA_Cleaned Data'!ABV:ABV,"1")</f>
        <v>0</v>
      </c>
      <c r="L53" s="4">
        <f>COUNTIF('MINGALA_Cleaned Data'!ABW:ABW,"1")</f>
        <v>0</v>
      </c>
    </row>
    <row r="54" spans="1:12" ht="26" x14ac:dyDescent="0.3">
      <c r="A54" s="53" t="s">
        <v>3273</v>
      </c>
      <c r="B54" s="7">
        <f>B53/$B$3</f>
        <v>0</v>
      </c>
      <c r="C54" s="7">
        <f t="shared" ref="C54:L54" si="9">C53/$B$3</f>
        <v>0</v>
      </c>
      <c r="D54" s="7">
        <f t="shared" si="9"/>
        <v>0.5</v>
      </c>
      <c r="E54" s="7">
        <f t="shared" si="9"/>
        <v>0</v>
      </c>
      <c r="F54" s="7">
        <f t="shared" si="9"/>
        <v>0</v>
      </c>
      <c r="G54" s="7">
        <f t="shared" si="9"/>
        <v>0</v>
      </c>
      <c r="H54" s="7">
        <f t="shared" si="9"/>
        <v>0</v>
      </c>
      <c r="I54" s="7">
        <f t="shared" si="9"/>
        <v>0</v>
      </c>
      <c r="J54" s="7">
        <f t="shared" si="9"/>
        <v>0.5</v>
      </c>
      <c r="K54" s="7">
        <f t="shared" si="9"/>
        <v>0</v>
      </c>
      <c r="L54" s="7">
        <f t="shared" si="9"/>
        <v>0</v>
      </c>
    </row>
    <row r="55" spans="1:12" x14ac:dyDescent="0.3">
      <c r="A55" s="65"/>
      <c r="J55" s="74" t="s">
        <v>3277</v>
      </c>
    </row>
    <row r="56" spans="1:12" x14ac:dyDescent="0.3">
      <c r="A56" s="18" t="s">
        <v>1286</v>
      </c>
    </row>
    <row r="57" spans="1:12" x14ac:dyDescent="0.3">
      <c r="A57" s="3"/>
      <c r="B57" s="8" t="s">
        <v>1210</v>
      </c>
      <c r="C57" s="8" t="s">
        <v>1209</v>
      </c>
      <c r="D57" s="114" t="s">
        <v>1206</v>
      </c>
    </row>
    <row r="58" spans="1:12" x14ac:dyDescent="0.3">
      <c r="A58" s="3" t="s">
        <v>1207</v>
      </c>
      <c r="B58" s="4">
        <f>COUNTIF('MINGALA_Cleaned Data'!ACA:ACA,"Oui")</f>
        <v>0</v>
      </c>
      <c r="C58" s="4">
        <f>COUNTIF('MINGALA_Cleaned Data'!ACA:ACA,"non")</f>
        <v>2</v>
      </c>
      <c r="D58" s="111">
        <f>SUM(B58:C58)</f>
        <v>2</v>
      </c>
    </row>
    <row r="59" spans="1:12" ht="26" x14ac:dyDescent="0.3">
      <c r="A59" s="53" t="s">
        <v>3273</v>
      </c>
      <c r="B59" s="7">
        <f>B58/$B$3</f>
        <v>0</v>
      </c>
      <c r="C59" s="7">
        <f>C58/$B$3</f>
        <v>1</v>
      </c>
      <c r="D59" s="116">
        <f>SUM(B59:C59)</f>
        <v>1</v>
      </c>
    </row>
    <row r="61" spans="1:12" x14ac:dyDescent="0.3">
      <c r="B61" s="18" t="s">
        <v>1287</v>
      </c>
    </row>
    <row r="62" spans="1:12" x14ac:dyDescent="0.3">
      <c r="B62" s="21" t="e">
        <f>AVERAGE('MINGALA_Cleaned Data'!ACB:ACB)</f>
        <v>#DIV/0!</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COUNTIF('MINGALA_Cleaned Data'!ACC:ACC,"Oui")</f>
        <v>0</v>
      </c>
      <c r="D66" s="4">
        <f>COUNTIF('MINGALA_Cleaned Data'!ACC:ACC,"non")</f>
        <v>0</v>
      </c>
      <c r="E66" s="111">
        <f>SUM(C66:D66)</f>
        <v>0</v>
      </c>
    </row>
    <row r="67" spans="1:5" ht="49" x14ac:dyDescent="0.3">
      <c r="B67" s="53" t="s">
        <v>3278</v>
      </c>
      <c r="C67" s="7" t="e">
        <f>C66/$B$58</f>
        <v>#DIV/0!</v>
      </c>
      <c r="D67" s="7" t="e">
        <f>D66/$B$58</f>
        <v>#DIV/0!</v>
      </c>
      <c r="E67" s="116" t="e">
        <f>SUM(C67:D67)</f>
        <v>#DIV/0!</v>
      </c>
    </row>
    <row r="68" spans="1:5" x14ac:dyDescent="0.3">
      <c r="B68" s="14"/>
      <c r="C68" s="15"/>
      <c r="D68" s="15"/>
    </row>
    <row r="69" spans="1:5" x14ac:dyDescent="0.3">
      <c r="C69" s="18" t="s">
        <v>1289</v>
      </c>
    </row>
    <row r="70" spans="1:5" x14ac:dyDescent="0.3">
      <c r="C70" s="21" t="e">
        <f>AVERAGE('MINGALA_Cleaned Data'!ACD:ACD)</f>
        <v>#DIV/0!</v>
      </c>
    </row>
    <row r="71" spans="1:5" x14ac:dyDescent="0.3">
      <c r="C71" s="18" t="s">
        <v>1290</v>
      </c>
    </row>
    <row r="72" spans="1:5" x14ac:dyDescent="0.3">
      <c r="C72" s="21" t="e">
        <f>AVERAGE('MINGALA_Cleaned Data'!ACF:ACF)</f>
        <v>#DIV/0!</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COUNTIF('MINGALA_Cleaned Data'!ACI:ACI,"Oui")</f>
        <v>0</v>
      </c>
      <c r="D76" s="4">
        <f>COUNTIF('MINGALA_Cleaned Data'!ACI:ACI,"non")</f>
        <v>0</v>
      </c>
      <c r="E76" s="111">
        <f>SUM(C76:D76)</f>
        <v>0</v>
      </c>
    </row>
    <row r="77" spans="1:5" ht="49" x14ac:dyDescent="0.3">
      <c r="B77" s="53" t="s">
        <v>3278</v>
      </c>
      <c r="C77" s="7" t="e">
        <f>C76/$B$58</f>
        <v>#DIV/0!</v>
      </c>
      <c r="D77" s="7" t="e">
        <f>D76/$B$58</f>
        <v>#DIV/0!</v>
      </c>
      <c r="E77" s="116" t="e">
        <f>SUM(C77:D77)</f>
        <v>#DIV/0!</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COUNTIF('MINGALA_Cleaned Data'!ACJ:ACJ,"Oui")</f>
        <v>0</v>
      </c>
      <c r="C81" s="4">
        <f>COUNTIF('MINGALA_Cleaned Data'!ACJ:ACJ,"non")</f>
        <v>2</v>
      </c>
      <c r="D81" s="111">
        <f>SUM(B81:C81)</f>
        <v>2</v>
      </c>
    </row>
    <row r="82" spans="1:12" ht="26" x14ac:dyDescent="0.3">
      <c r="A82" s="53" t="s">
        <v>3273</v>
      </c>
      <c r="B82" s="7">
        <f>B81/$B$3</f>
        <v>0</v>
      </c>
      <c r="C82" s="7">
        <f>C81/$B$3</f>
        <v>1</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COUNTIF('MINGALA_Cleaned Data'!ACK:ACK,"fontaine")</f>
        <v>0</v>
      </c>
      <c r="D86" s="4">
        <f>COUNTIF('MINGALA_Cleaned Data'!ACK:ACK,"pompe_main")</f>
        <v>0</v>
      </c>
      <c r="E86" s="4">
        <f>COUNTIF('MINGALA_Cleaned Data'!ACK:ACK,"pompe_pied")</f>
        <v>0</v>
      </c>
      <c r="F86" s="4">
        <f>COUNTIF('MINGALA_Cleaned Data'!ACK:ACK,"puits_protege")</f>
        <v>0</v>
      </c>
      <c r="G86" s="4">
        <f>COUNTIF('MINGALA_Cleaned Data'!ACK:ACK,"puits_non_protege")</f>
        <v>0</v>
      </c>
      <c r="H86" s="4">
        <f>COUNTIF('MINGALA_Cleaned Data'!ACK:ACK,"source_amenagee")</f>
        <v>0</v>
      </c>
      <c r="I86" s="4">
        <f>COUNTIF('MINGALA_Cleaned Data'!ACK:ACK,"source_non_amenagee")</f>
        <v>0</v>
      </c>
      <c r="J86" s="4">
        <f>COUNTIF('MINGALA_Cleaned Data'!ACK:ACK,"camion")</f>
        <v>0</v>
      </c>
      <c r="K86" s="4">
        <f>COUNTIF('MINGALA_Cleaned Data'!ACK:ACK,"autre")</f>
        <v>0</v>
      </c>
      <c r="L86" s="111">
        <f>SUM(C86:K86)</f>
        <v>0</v>
      </c>
    </row>
    <row r="87" spans="1:12" ht="49" x14ac:dyDescent="0.3">
      <c r="A87" s="14"/>
      <c r="B87" s="53" t="s">
        <v>3279</v>
      </c>
      <c r="C87" s="7" t="e">
        <f>C86/$B$81</f>
        <v>#DIV/0!</v>
      </c>
      <c r="D87" s="7" t="e">
        <f t="shared" ref="D87:K87" si="10">D86/$B$81</f>
        <v>#DIV/0!</v>
      </c>
      <c r="E87" s="7" t="e">
        <f t="shared" si="10"/>
        <v>#DIV/0!</v>
      </c>
      <c r="F87" s="7" t="e">
        <f t="shared" si="10"/>
        <v>#DIV/0!</v>
      </c>
      <c r="G87" s="7" t="e">
        <f t="shared" si="10"/>
        <v>#DIV/0!</v>
      </c>
      <c r="H87" s="7" t="e">
        <f t="shared" si="10"/>
        <v>#DIV/0!</v>
      </c>
      <c r="I87" s="7" t="e">
        <f t="shared" si="10"/>
        <v>#DIV/0!</v>
      </c>
      <c r="J87" s="7" t="e">
        <f t="shared" si="10"/>
        <v>#DIV/0!</v>
      </c>
      <c r="K87" s="7" t="e">
        <f t="shared" si="10"/>
        <v>#DIV/0!</v>
      </c>
      <c r="L87" s="116" t="e">
        <f>SUM(C87:K87)</f>
        <v>#DIV/0!</v>
      </c>
    </row>
    <row r="89" spans="1:12" x14ac:dyDescent="0.3">
      <c r="A89" s="21" t="s">
        <v>1302</v>
      </c>
    </row>
    <row r="90" spans="1:12" ht="15.5" x14ac:dyDescent="0.35">
      <c r="A90" s="67" t="s">
        <v>1964</v>
      </c>
      <c r="E90" s="29" t="s">
        <v>1963</v>
      </c>
    </row>
    <row r="91" spans="1:12" x14ac:dyDescent="0.3">
      <c r="A91" s="66">
        <f>AVERAGE('MINGALA_Cleaned Data'!ABZ:ABZ)</f>
        <v>5.5</v>
      </c>
      <c r="E91" s="19">
        <f>AVERAGE('MINGALA_Cleaned Data'!ACN:ACN)</f>
        <v>502</v>
      </c>
    </row>
    <row r="92" spans="1:12" x14ac:dyDescent="0.3">
      <c r="A92" s="66"/>
    </row>
    <row r="93" spans="1:12" x14ac:dyDescent="0.3">
      <c r="A93" s="66"/>
      <c r="D93" s="70">
        <f>E91/A91</f>
        <v>91.272727272727266</v>
      </c>
      <c r="E93" s="68" t="s">
        <v>1965</v>
      </c>
    </row>
    <row r="94" spans="1:12" x14ac:dyDescent="0.3">
      <c r="A94" s="66"/>
    </row>
    <row r="95" spans="1:12" ht="15.5" x14ac:dyDescent="0.35">
      <c r="A95" s="18" t="s">
        <v>1967</v>
      </c>
      <c r="E95" s="29" t="s">
        <v>1966</v>
      </c>
    </row>
    <row r="96" spans="1:12" x14ac:dyDescent="0.3">
      <c r="A96" s="69">
        <f>AVERAGEIF('MINGALA_Cleaned Data'!ZT:ZT,"public", 'MINGALA_Cleaned Data'!ABZ:ABZ)</f>
        <v>5.5</v>
      </c>
      <c r="E96" s="19">
        <f>AVERAGEIF('MINGALA_Cleaned Data'!ZT:ZT,"public",'MINGALA_Cleaned Data'!ACN:ACN)</f>
        <v>502</v>
      </c>
    </row>
    <row r="98" spans="1:7" x14ac:dyDescent="0.3">
      <c r="D98" s="70">
        <f>E96/A96</f>
        <v>91.272727272727266</v>
      </c>
      <c r="E98" s="68" t="s">
        <v>1965</v>
      </c>
    </row>
    <row r="100" spans="1:7" ht="15.5" x14ac:dyDescent="0.35">
      <c r="A100" s="18" t="s">
        <v>1969</v>
      </c>
      <c r="E100" s="18"/>
    </row>
    <row r="101" spans="1:7" x14ac:dyDescent="0.3">
      <c r="A101" s="93">
        <f>AVERAGE('MINGALA_Cleaned Data'!ACO:ACO)</f>
        <v>154.5</v>
      </c>
      <c r="E101" s="18"/>
    </row>
    <row r="102" spans="1:7" ht="15.5" x14ac:dyDescent="0.35">
      <c r="A102" s="29" t="s">
        <v>1968</v>
      </c>
      <c r="E102" s="18"/>
    </row>
    <row r="103" spans="1:7" x14ac:dyDescent="0.3">
      <c r="A103" s="93">
        <f>AVERAGE('MINGALA_Cleaned Data'!ACQ:ACQ)</f>
        <v>347.5</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COUNTIF('MINGALA_Cleaned Data'!ACV:ACV,"Oui")</f>
        <v>2</v>
      </c>
      <c r="C107" s="4">
        <f>COUNTIF('MINGALA_Cleaned Data'!ACV:ACV,"non")</f>
        <v>0</v>
      </c>
      <c r="D107" s="4">
        <f>COUNTIF('MINGALA_Cleaned Data'!ACV:ACV,"nsp")</f>
        <v>0</v>
      </c>
      <c r="E107" s="111">
        <f>SUM(B107:C107)</f>
        <v>2</v>
      </c>
    </row>
    <row r="108" spans="1:7" ht="37.5" x14ac:dyDescent="0.3">
      <c r="A108" s="53" t="s">
        <v>3280</v>
      </c>
      <c r="B108" s="7">
        <f>B107/$E$23</f>
        <v>1</v>
      </c>
      <c r="C108" s="7">
        <f>C107/$E$23</f>
        <v>0</v>
      </c>
      <c r="D108" s="7">
        <f>D107/$E$23</f>
        <v>0</v>
      </c>
      <c r="E108" s="116">
        <f>SUM(B108:C108)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COUNTIF('MINGALA_Cleaned Data'!ACW:ACW,"peu_diminue")</f>
        <v>0</v>
      </c>
      <c r="D112" s="24">
        <f>COUNTIF('MINGALA_Cleaned Data'!ACW:ACW,"bcp_diminue")</f>
        <v>0</v>
      </c>
      <c r="E112" s="24">
        <f>COUNTIF('MINGALA_Cleaned Data'!ACW:ACW,"peu_augmente")</f>
        <v>1</v>
      </c>
      <c r="F112" s="24">
        <f>COUNTIF('MINGALA_Cleaned Data'!ACW:ACW,"bcp_augmente")</f>
        <v>1</v>
      </c>
      <c r="G112" s="111">
        <f>SUM(C112:F112)</f>
        <v>2</v>
      </c>
    </row>
    <row r="113" spans="1:10" ht="49" x14ac:dyDescent="0.3">
      <c r="B113" s="53" t="s">
        <v>3281</v>
      </c>
      <c r="C113" s="7">
        <f>C112/$B$107</f>
        <v>0</v>
      </c>
      <c r="D113" s="7">
        <f t="shared" ref="D113:F113" si="11">D112/$B$107</f>
        <v>0</v>
      </c>
      <c r="E113" s="7">
        <f t="shared" si="11"/>
        <v>0.5</v>
      </c>
      <c r="F113" s="7">
        <f t="shared" si="11"/>
        <v>0.5</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COUNTIF('MINGALA_Cleaned Data'!ACY:ACY,"1")</f>
        <v>1</v>
      </c>
      <c r="D117" s="24">
        <f>COUNTIF('MINGALA_Cleaned Data'!ACZ:ACZ,"1")</f>
        <v>0</v>
      </c>
      <c r="E117" s="24">
        <f>COUNTIF('MINGALA_Cleaned Data'!ADA:ADA,"1")</f>
        <v>0</v>
      </c>
      <c r="F117" s="24">
        <f>COUNTIF('MINGALA_Cleaned Data'!ADB:ADB,"1")</f>
        <v>0</v>
      </c>
      <c r="G117" s="24">
        <f>COUNTIF('MINGALA_Cleaned Data'!ADE:ADE,"1")</f>
        <v>1</v>
      </c>
      <c r="H117" s="24">
        <f>COUNTIF('MINGALA_Cleaned Data'!ADC:ADC,"1")</f>
        <v>0</v>
      </c>
      <c r="I117" s="24">
        <f>COUNTIF('MINGALA_Cleaned Data'!ADD:ADD,"1")</f>
        <v>0</v>
      </c>
    </row>
    <row r="118" spans="1:10" ht="49" x14ac:dyDescent="0.3">
      <c r="B118" s="53" t="s">
        <v>3282</v>
      </c>
      <c r="C118" s="7">
        <f>C117/SUM(E112,F112)</f>
        <v>0.5</v>
      </c>
      <c r="D118" s="7">
        <f>D117/SUM(E112,F112)</f>
        <v>0</v>
      </c>
      <c r="E118" s="7">
        <f>E117/SUM(E112,F112)</f>
        <v>0</v>
      </c>
      <c r="F118" s="7">
        <f>F117/SUM(E112,F112)</f>
        <v>0</v>
      </c>
      <c r="G118" s="7">
        <f>G117/SUM(E112,F112)</f>
        <v>0.5</v>
      </c>
      <c r="H118" s="7">
        <f>H117/SUM(E112,F112)</f>
        <v>0</v>
      </c>
      <c r="I118" s="7">
        <f>I117/SUM(F112,G112)</f>
        <v>0</v>
      </c>
    </row>
    <row r="119" spans="1:10" x14ac:dyDescent="0.3">
      <c r="B119" s="50"/>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COUNTIF('MINGALA_Cleaned Data'!ADH:ADH,"1")</f>
        <v>0</v>
      </c>
      <c r="D122" s="24">
        <f>COUNTIF('MINGALA_Cleaned Data'!ADI:ADI,"1")</f>
        <v>0</v>
      </c>
      <c r="E122" s="24">
        <f>COUNTIF('MINGALA_Cleaned Data'!ADJ:ADJ,"1")</f>
        <v>0</v>
      </c>
      <c r="F122" s="24">
        <f>COUNTIF('MINGALA_Cleaned Data'!ADK:ADK,"1")</f>
        <v>0</v>
      </c>
      <c r="G122" s="24">
        <f>COUNTIF('MINGALA_Cleaned Data'!ADL:ADL,"1")</f>
        <v>0</v>
      </c>
      <c r="H122" s="24">
        <f>COUNTIF('MINGALA_Cleaned Data'!ADO:ADO,"1")</f>
        <v>0</v>
      </c>
      <c r="I122" s="24">
        <f>COUNTIF('MINGALA_Cleaned Data'!ADM:ADM,"1")</f>
        <v>0</v>
      </c>
      <c r="J122" s="24">
        <f>COUNTIF('MINGALA_Cleaned Data'!ADN:ADN,"1")</f>
        <v>0</v>
      </c>
    </row>
    <row r="123" spans="1:10" ht="49" x14ac:dyDescent="0.3">
      <c r="B123" s="53" t="s">
        <v>3283</v>
      </c>
      <c r="C123" s="7" t="e">
        <f>C122/SUM(C112,D112)</f>
        <v>#DIV/0!</v>
      </c>
      <c r="D123" s="7" t="e">
        <f>D122/SUM(C112,D112)</f>
        <v>#DIV/0!</v>
      </c>
      <c r="E123" s="7" t="e">
        <f>E122/SUM(C112,D112)</f>
        <v>#DIV/0!</v>
      </c>
      <c r="F123" s="7" t="e">
        <f>F122/SUM(C112,D112)</f>
        <v>#DIV/0!</v>
      </c>
      <c r="G123" s="7" t="e">
        <f>G122/SUM(C112,D112)</f>
        <v>#DIV/0!</v>
      </c>
      <c r="H123" s="7" t="e">
        <f>H122/SUM(C112,D112)</f>
        <v>#DIV/0!</v>
      </c>
      <c r="I123" s="7" t="e">
        <f>I122/SUM(C112,D112)</f>
        <v>#DIV/0!</v>
      </c>
      <c r="J123" s="7" t="e">
        <f>J122/SUM(C112,D112)</f>
        <v>#DIV/0!</v>
      </c>
    </row>
    <row r="125" spans="1:10" x14ac:dyDescent="0.3">
      <c r="A125" s="18" t="s">
        <v>1323</v>
      </c>
    </row>
    <row r="126" spans="1:10" x14ac:dyDescent="0.3">
      <c r="A126" s="28">
        <f>AVERAGE('MINGALA_Cleaned Data'!ADQ:ADQ)</f>
        <v>0</v>
      </c>
    </row>
    <row r="127" spans="1:10" x14ac:dyDescent="0.3">
      <c r="A127" s="28"/>
    </row>
    <row r="128" spans="1:10" x14ac:dyDescent="0.3">
      <c r="A128" s="18" t="s">
        <v>1319</v>
      </c>
    </row>
    <row r="129" spans="1:5" x14ac:dyDescent="0.3">
      <c r="A129" s="28">
        <f>AVERAGE('MINGALA_Cleaned Data'!AEO:AEO)</f>
        <v>0</v>
      </c>
    </row>
    <row r="130" spans="1:5" x14ac:dyDescent="0.3">
      <c r="A130" s="27"/>
    </row>
    <row r="131" spans="1:5" x14ac:dyDescent="0.3">
      <c r="A131" s="18" t="s">
        <v>1320</v>
      </c>
    </row>
    <row r="132" spans="1:5" x14ac:dyDescent="0.3">
      <c r="A132" s="19">
        <f>AVERAGE('MINGALA_Cleaned Data'!AFL:AFL)</f>
        <v>4</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COUNTIF('MINGALA_Cleaned Data'!AGH:AGH,"Oui")</f>
        <v>0</v>
      </c>
      <c r="C136" s="24">
        <f>COUNTIF('MINGALA_Cleaned Data'!AGH:AGH,"oui_rc")</f>
        <v>1</v>
      </c>
      <c r="D136" s="24">
        <f>COUNTIF('MINGALA_Cleaned Data'!AGH:AGH,"non_rc")</f>
        <v>1</v>
      </c>
      <c r="E136" s="111">
        <f>SUM(B136:D136)</f>
        <v>2</v>
      </c>
    </row>
    <row r="137" spans="1:5" ht="37.5" x14ac:dyDescent="0.3">
      <c r="A137" s="53" t="s">
        <v>1974</v>
      </c>
      <c r="B137" s="7">
        <f>B136/$E$23</f>
        <v>0</v>
      </c>
      <c r="C137" s="7">
        <f t="shared" ref="C137:D137" si="12">C136/$E$23</f>
        <v>0.5</v>
      </c>
      <c r="D137" s="7">
        <f t="shared" si="12"/>
        <v>0.5</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COUNTIF('MINGALA_Cleaned Data'!AGI:AGI,"Oui")</f>
        <v>0</v>
      </c>
      <c r="C141" s="24">
        <f>COUNTIF('MINGALA_Cleaned Data'!AGI:AGI,"oui_rc")</f>
        <v>0</v>
      </c>
      <c r="D141" s="24">
        <f>COUNTIF('MINGALA_Cleaned Data'!AGI:AGI,"non_rc")</f>
        <v>2</v>
      </c>
      <c r="E141" s="111">
        <f>SUM(B141:D141)</f>
        <v>2</v>
      </c>
    </row>
    <row r="142" spans="1:5" ht="37.5" x14ac:dyDescent="0.3">
      <c r="A142" s="53" t="s">
        <v>3284</v>
      </c>
      <c r="B142" s="7">
        <f>B141/$E$23</f>
        <v>0</v>
      </c>
      <c r="C142" s="7">
        <f t="shared" ref="C142:D142" si="13">C141/$E$23</f>
        <v>0</v>
      </c>
      <c r="D142" s="7">
        <f t="shared" si="13"/>
        <v>1</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COUNTIF('MINGALA_Cleaned Data'!ACM:ACM,"Oui")</f>
        <v>0</v>
      </c>
      <c r="C148" s="24">
        <f>COUNTIF('MINGALA_Cleaned Data'!ACM:ACM,"non")</f>
        <v>2</v>
      </c>
      <c r="D148" s="24">
        <f>COUNTIF('MINGALA_Cleaned Data'!ACM:ACM,"difficilement")</f>
        <v>0</v>
      </c>
      <c r="E148" s="111">
        <f>SUM(B148:D148)</f>
        <v>2</v>
      </c>
    </row>
    <row r="149" spans="1:8" s="36" customFormat="1" ht="39" customHeight="1" x14ac:dyDescent="0.3">
      <c r="A149" s="53" t="s">
        <v>3284</v>
      </c>
      <c r="B149" s="55">
        <f>B148/$E$23</f>
        <v>0</v>
      </c>
      <c r="C149" s="55">
        <f>C148/$E$23</f>
        <v>1</v>
      </c>
      <c r="D149" s="55">
        <f>D148/$E$23</f>
        <v>0</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COUNTIF('MINGALA_Cleaned Data'!AGJ:AGJ,"Oui")</f>
        <v>0</v>
      </c>
      <c r="C153" s="24">
        <f>COUNTIF('MINGALA_Cleaned Data'!AGJ:AGJ,"non")</f>
        <v>2</v>
      </c>
      <c r="D153" s="111">
        <f>SUM(B153:C153)</f>
        <v>2</v>
      </c>
    </row>
    <row r="154" spans="1:8" s="36" customFormat="1" ht="37.5" x14ac:dyDescent="0.3">
      <c r="A154" s="53" t="s">
        <v>3284</v>
      </c>
      <c r="B154" s="55">
        <f>B153/$E$23</f>
        <v>0</v>
      </c>
      <c r="C154" s="55">
        <f>C153/$E$23</f>
        <v>1</v>
      </c>
      <c r="D154" s="7">
        <f>SUM(B154:C154)</f>
        <v>1</v>
      </c>
    </row>
    <row r="155" spans="1:8" x14ac:dyDescent="0.3">
      <c r="A155" s="14"/>
      <c r="B155" s="15"/>
      <c r="C155" s="15"/>
    </row>
    <row r="156" spans="1:8" x14ac:dyDescent="0.3">
      <c r="A156" s="34" t="s">
        <v>2838</v>
      </c>
      <c r="B156" s="15"/>
      <c r="C156" s="15"/>
      <c r="E156" s="18" t="s">
        <v>1977</v>
      </c>
    </row>
    <row r="157" spans="1:8" x14ac:dyDescent="0.3">
      <c r="A157" s="32" t="e">
        <f>AVERAGE('MINGALA_Cleaned Data'!AGK56)</f>
        <v>#DIV/0!</v>
      </c>
      <c r="B157" s="33" t="s">
        <v>1325</v>
      </c>
      <c r="C157" s="15"/>
      <c r="E157" s="3"/>
      <c r="F157" s="11" t="s">
        <v>1210</v>
      </c>
      <c r="G157" s="11" t="s">
        <v>1209</v>
      </c>
      <c r="H157" s="114" t="s">
        <v>1206</v>
      </c>
    </row>
    <row r="158" spans="1:8" x14ac:dyDescent="0.3">
      <c r="A158" s="32"/>
      <c r="B158" s="33"/>
      <c r="C158" s="15"/>
      <c r="E158" s="3" t="s">
        <v>1207</v>
      </c>
      <c r="F158" s="24">
        <f>COUNTIF('MINGALA_Cleaned Data'!AGT:AGT,"Oui")</f>
        <v>0</v>
      </c>
      <c r="G158" s="24">
        <f>COUNTIF('MINGALA_Cleaned Data'!AGT:AGT,"non")</f>
        <v>0</v>
      </c>
      <c r="H158" s="111">
        <f>SUM(F158:G158)</f>
        <v>0</v>
      </c>
    </row>
    <row r="159" spans="1:8" ht="26" x14ac:dyDescent="0.3">
      <c r="A159" s="34" t="s">
        <v>2839</v>
      </c>
      <c r="B159" s="33"/>
      <c r="C159" s="15"/>
      <c r="E159" s="53" t="s">
        <v>3285</v>
      </c>
      <c r="F159" s="7" t="e">
        <f>F158/$B$153</f>
        <v>#DIV/0!</v>
      </c>
      <c r="G159" s="7" t="e">
        <f>G158/$B$153</f>
        <v>#DIV/0!</v>
      </c>
      <c r="H159" s="7" t="e">
        <f>SUM(F159:G159)</f>
        <v>#DIV/0!</v>
      </c>
    </row>
    <row r="160" spans="1:8" x14ac:dyDescent="0.3">
      <c r="A160" s="32" t="e">
        <f>AVERAGE('MINGALA_Cleaned Data'!AGK22)</f>
        <v>#DIV/0!</v>
      </c>
      <c r="B160" s="33" t="s">
        <v>1325</v>
      </c>
      <c r="C160" s="15"/>
    </row>
    <row r="161" spans="1:13" x14ac:dyDescent="0.3">
      <c r="A161" s="32"/>
      <c r="B161" s="33"/>
      <c r="C161" s="15"/>
    </row>
    <row r="162" spans="1:13" x14ac:dyDescent="0.3">
      <c r="A162" s="17" t="s">
        <v>1326</v>
      </c>
      <c r="B162" s="33"/>
      <c r="C162" s="103" t="s">
        <v>3245</v>
      </c>
    </row>
    <row r="163" spans="1:13" s="36" customFormat="1" ht="59.5" customHeight="1" x14ac:dyDescent="0.35">
      <c r="A163" s="8" t="s">
        <v>1327</v>
      </c>
      <c r="B163" s="8" t="s">
        <v>1328</v>
      </c>
      <c r="C163" s="8" t="s">
        <v>1329</v>
      </c>
      <c r="D163" s="8" t="s">
        <v>1330</v>
      </c>
      <c r="E163" s="8" t="s">
        <v>1905</v>
      </c>
      <c r="F163" s="8" t="s">
        <v>1205</v>
      </c>
    </row>
    <row r="164" spans="1:13" x14ac:dyDescent="0.3">
      <c r="A164" s="3">
        <f>COUNTIF('MINGALA_Cleaned Data'!AGM:AGM,"1")</f>
        <v>0</v>
      </c>
      <c r="B164" s="3">
        <f>COUNTIF('MINGALA_Cleaned Data'!AGN:AGN,"1")</f>
        <v>0</v>
      </c>
      <c r="C164" s="3">
        <f>COUNTIF('MINGALA_Cleaned Data'!AGO:AGO,"1")</f>
        <v>0</v>
      </c>
      <c r="D164" s="3">
        <f>COUNTIF('MINGALA_Cleaned Data'!AGP:AGP,"1")</f>
        <v>0</v>
      </c>
      <c r="E164" s="3">
        <f>COUNTIF('MINGALA_Cleaned Data'!AGQ:AGQ,"1")</f>
        <v>0</v>
      </c>
      <c r="F164" s="3">
        <f>COUNTIF('MINGALA_Cleaned Data'!AGR:AGR,"1")</f>
        <v>0</v>
      </c>
    </row>
    <row r="165" spans="1:13" x14ac:dyDescent="0.3">
      <c r="A165" s="14"/>
      <c r="B165" s="14"/>
      <c r="C165" s="14"/>
      <c r="D165" s="14"/>
      <c r="E165" s="14"/>
      <c r="F165" s="14"/>
    </row>
    <row r="166" spans="1:13" x14ac:dyDescent="0.3">
      <c r="A166" s="18" t="s">
        <v>1331</v>
      </c>
      <c r="C166" s="103" t="s">
        <v>3245</v>
      </c>
    </row>
    <row r="167" spans="1:13" x14ac:dyDescent="0.3">
      <c r="A167" s="3"/>
      <c r="B167" s="8" t="s">
        <v>1250</v>
      </c>
      <c r="C167" s="8" t="s">
        <v>1251</v>
      </c>
      <c r="D167" s="35" t="s">
        <v>1905</v>
      </c>
      <c r="E167" s="8" t="s">
        <v>1205</v>
      </c>
      <c r="F167" s="8" t="s">
        <v>1252</v>
      </c>
    </row>
    <row r="168" spans="1:13" x14ac:dyDescent="0.3">
      <c r="A168" s="3" t="s">
        <v>1207</v>
      </c>
      <c r="B168" s="3">
        <f>COUNTIF('MINGALA_Cleaned Data'!AHR:AHR,"1")</f>
        <v>0</v>
      </c>
      <c r="C168" s="3">
        <f>COUNTIF('MINGALA_Cleaned Data'!AHS:AHS,"1")</f>
        <v>0</v>
      </c>
      <c r="D168" s="3">
        <f>COUNTIF('MINGALA_Cleaned Data'!AHT:AHT,"1")</f>
        <v>1</v>
      </c>
      <c r="E168" s="3">
        <f>COUNTIF('MINGALA_Cleaned Data'!AHU:AHU,"1")</f>
        <v>0</v>
      </c>
      <c r="F168" s="3">
        <f>COUNTIF('MINGALA_Cleaned Data'!AHV:AHV,"1")</f>
        <v>1</v>
      </c>
    </row>
    <row r="169" spans="1:13" s="36" customFormat="1" ht="37" x14ac:dyDescent="0.25">
      <c r="A169" s="53" t="s">
        <v>3284</v>
      </c>
      <c r="B169" s="55">
        <f>B168/$E$23</f>
        <v>0</v>
      </c>
      <c r="C169" s="55">
        <f t="shared" ref="C169:F169" si="14">C168/$E$23</f>
        <v>0</v>
      </c>
      <c r="D169" s="55">
        <f t="shared" si="14"/>
        <v>0.5</v>
      </c>
      <c r="E169" s="55">
        <f t="shared" si="14"/>
        <v>0</v>
      </c>
      <c r="F169" s="55">
        <f t="shared" si="14"/>
        <v>0.5</v>
      </c>
    </row>
    <row r="171" spans="1:13" ht="15.5" x14ac:dyDescent="0.35">
      <c r="A171" s="29" t="s">
        <v>1299</v>
      </c>
      <c r="C171" s="103" t="s">
        <v>3245</v>
      </c>
    </row>
    <row r="172" spans="1:13" ht="70" x14ac:dyDescent="0.3">
      <c r="A172" s="8" t="s">
        <v>1475</v>
      </c>
      <c r="B172" s="8" t="s">
        <v>1332</v>
      </c>
      <c r="C172" s="8" t="s">
        <v>1333</v>
      </c>
      <c r="D172" s="8" t="s">
        <v>1978</v>
      </c>
      <c r="E172" s="8" t="s">
        <v>1979</v>
      </c>
      <c r="F172" s="8" t="s">
        <v>1980</v>
      </c>
      <c r="G172" s="8" t="s">
        <v>1981</v>
      </c>
      <c r="H172" s="8" t="s">
        <v>1764</v>
      </c>
      <c r="I172" s="8" t="s">
        <v>1905</v>
      </c>
      <c r="J172" s="8" t="s">
        <v>1205</v>
      </c>
    </row>
    <row r="173" spans="1:13" x14ac:dyDescent="0.3">
      <c r="A173" s="3">
        <f>COUNTIF('MINGALA_Cleaned Data'!AHY:AHY,"1")</f>
        <v>0</v>
      </c>
      <c r="B173" s="3">
        <f>COUNTIF('MINGALA_Cleaned Data'!AHZ:AHZ,"1")</f>
        <v>1</v>
      </c>
      <c r="C173" s="3">
        <f>COUNTIF('MINGALA_Cleaned Data'!AIA:AIA,"1")</f>
        <v>1</v>
      </c>
      <c r="D173" s="3">
        <f>COUNTIF('MINGALA_Cleaned Data'!AIB:AIB,"1")</f>
        <v>1</v>
      </c>
      <c r="E173" s="3">
        <f>COUNTIF('MINGALA_Cleaned Data'!AIC:AIC,"1")</f>
        <v>0</v>
      </c>
      <c r="F173" s="3">
        <f>COUNTIF('MINGALA_Cleaned Data'!AID:AID,"1")</f>
        <v>1</v>
      </c>
      <c r="G173" s="3">
        <f>COUNTIF('MINGALA_Cleaned Data'!AIE:AIE,"1")</f>
        <v>0</v>
      </c>
      <c r="H173" s="3">
        <f>COUNTIF('MINGALA_Cleaned Data'!AIG:AIG,"1")</f>
        <v>0</v>
      </c>
      <c r="I173" s="3">
        <f>COUNTIF('MINGALA_Cleaned Data'!AIH:AIH,"1")</f>
        <v>0</v>
      </c>
      <c r="J173" s="3">
        <f>COUNTIF('MINGALA_Cleaned Data'!AII:AII,"1")</f>
        <v>1</v>
      </c>
    </row>
    <row r="174" spans="1:13" x14ac:dyDescent="0.3">
      <c r="J174" s="74" t="s">
        <v>2962</v>
      </c>
    </row>
    <row r="175" spans="1:13" ht="15.5" x14ac:dyDescent="0.35">
      <c r="A175" s="29" t="s">
        <v>1300</v>
      </c>
      <c r="D175" s="103" t="s">
        <v>3245</v>
      </c>
    </row>
    <row r="176" spans="1:13" ht="42" x14ac:dyDescent="0.3">
      <c r="A176" s="8" t="s">
        <v>1912</v>
      </c>
      <c r="B176" s="8" t="s">
        <v>1982</v>
      </c>
      <c r="C176" s="8" t="s">
        <v>1913</v>
      </c>
      <c r="D176" s="8" t="s">
        <v>1914</v>
      </c>
      <c r="E176" s="8" t="s">
        <v>1915</v>
      </c>
      <c r="F176" s="8" t="s">
        <v>1916</v>
      </c>
      <c r="G176" s="8" t="s">
        <v>1917</v>
      </c>
      <c r="H176" s="8" t="s">
        <v>1918</v>
      </c>
      <c r="I176" s="8" t="s">
        <v>1919</v>
      </c>
      <c r="J176" s="8" t="s">
        <v>1920</v>
      </c>
      <c r="K176" s="8" t="s">
        <v>1252</v>
      </c>
      <c r="L176" s="8" t="s">
        <v>1905</v>
      </c>
      <c r="M176" s="8" t="s">
        <v>1205</v>
      </c>
    </row>
    <row r="177" spans="1:16" x14ac:dyDescent="0.3">
      <c r="A177" s="24">
        <f>COUNTIF('MINGALA_Cleaned Data'!AIL:AIL,"1")</f>
        <v>0</v>
      </c>
      <c r="B177" s="24">
        <f>COUNTIF('MINGALA_Cleaned Data'!AIM:AIM,"1")</f>
        <v>0</v>
      </c>
      <c r="C177" s="24">
        <f>COUNTIF('MINGALA_Cleaned Data'!AIN:AIN,"1")</f>
        <v>0</v>
      </c>
      <c r="D177" s="24">
        <f>COUNTIF('MINGALA_Cleaned Data'!AIO:AIO,"1")</f>
        <v>0</v>
      </c>
      <c r="E177" s="24">
        <f>COUNTIF('MINGALA_Cleaned Data'!AIP:AIP,"1")</f>
        <v>2</v>
      </c>
      <c r="F177" s="24">
        <f>COUNTIF('MINGALA_Cleaned Data'!AIQ:AIQ,"1")</f>
        <v>0</v>
      </c>
      <c r="G177" s="24">
        <f>COUNTIF('MINGALA_Cleaned Data'!AIR:AIR,"1")</f>
        <v>1</v>
      </c>
      <c r="H177" s="24">
        <f>COUNTIF('MINGALA_Cleaned Data'!AIS:AIS,"1")</f>
        <v>1</v>
      </c>
      <c r="I177" s="24">
        <f>COUNTIF('MINGALA_Cleaned Data'!AIT:AIT,"1")</f>
        <v>0</v>
      </c>
      <c r="J177" s="24">
        <f>COUNTIF('MINGALA_Cleaned Data'!AIX:AIX,"1")</f>
        <v>1</v>
      </c>
      <c r="K177" s="24">
        <f>COUNTIF('MINGALA_Cleaned Data'!AIU:AIU,"1")</f>
        <v>0</v>
      </c>
      <c r="L177" s="24">
        <f>COUNTIF('MINGALA_Cleaned Data'!AIV:AIV,"1")</f>
        <v>0</v>
      </c>
      <c r="M177" s="24">
        <f>COUNTIF('MINGALA_Cleaned Data'!AIW:AIW,"1")</f>
        <v>0</v>
      </c>
    </row>
    <row r="179" spans="1:16" ht="15.5" x14ac:dyDescent="0.35">
      <c r="A179" s="29" t="s">
        <v>1334</v>
      </c>
    </row>
    <row r="180" spans="1:16" x14ac:dyDescent="0.3">
      <c r="A180" s="3"/>
      <c r="B180" s="8" t="s">
        <v>1210</v>
      </c>
      <c r="C180" s="8" t="s">
        <v>1209</v>
      </c>
      <c r="D180" s="114" t="s">
        <v>1206</v>
      </c>
    </row>
    <row r="181" spans="1:16" x14ac:dyDescent="0.3">
      <c r="A181" s="3" t="s">
        <v>1207</v>
      </c>
      <c r="B181" s="24">
        <f>COUNTIF('MINGALA_Cleaned Data'!AIZ:AIZ,"OUI")</f>
        <v>1</v>
      </c>
      <c r="C181" s="24">
        <f>COUNTIF('MINGALA_Cleaned Data'!AIZ:AIZ,"non")</f>
        <v>1</v>
      </c>
      <c r="D181" s="111">
        <f>SUM(B181:C181)</f>
        <v>2</v>
      </c>
    </row>
    <row r="182" spans="1:16" ht="26" x14ac:dyDescent="0.3">
      <c r="A182" s="53" t="s">
        <v>3273</v>
      </c>
      <c r="B182" s="7">
        <f>(B181/$B$3)</f>
        <v>0.5</v>
      </c>
      <c r="C182" s="7">
        <f>(C181/$B$3)</f>
        <v>0.5</v>
      </c>
      <c r="D182" s="7">
        <f>SUM(B182:C182)</f>
        <v>1</v>
      </c>
    </row>
    <row r="184" spans="1:16" x14ac:dyDescent="0.3">
      <c r="B184" s="18" t="s">
        <v>1262</v>
      </c>
      <c r="D184" s="103" t="s">
        <v>3245</v>
      </c>
    </row>
    <row r="185" spans="1:16" ht="14.5" x14ac:dyDescent="0.35">
      <c r="B185" s="3"/>
      <c r="C185" s="11" t="s">
        <v>1263</v>
      </c>
      <c r="D185" s="11" t="s">
        <v>1264</v>
      </c>
      <c r="E185" s="11" t="s">
        <v>1256</v>
      </c>
      <c r="F185" s="11" t="s">
        <v>1257</v>
      </c>
      <c r="G185" s="11" t="s">
        <v>1240</v>
      </c>
      <c r="H185" s="11" t="s">
        <v>1905</v>
      </c>
      <c r="I185" s="11" t="s">
        <v>1205</v>
      </c>
      <c r="J185" s="23"/>
      <c r="K185" s="23"/>
    </row>
    <row r="186" spans="1:16" x14ac:dyDescent="0.3">
      <c r="B186" s="3" t="s">
        <v>1207</v>
      </c>
      <c r="C186" s="24">
        <f>COUNTIF('MINGALA_Cleaned Data'!AJB:AJB,"1")</f>
        <v>0</v>
      </c>
      <c r="D186" s="24">
        <f>COUNTIF('MINGALA_Cleaned Data'!AJC:AJC,"1")</f>
        <v>0</v>
      </c>
      <c r="E186" s="24">
        <f>COUNTIF('MINGALA_Cleaned Data'!AJD:AJD,"1")</f>
        <v>0</v>
      </c>
      <c r="F186" s="24">
        <f>COUNTIF('MINGALA_Cleaned Data'!AJE:AJE,"1")</f>
        <v>0</v>
      </c>
      <c r="G186" s="24">
        <f>COUNTIF('MINGALA_Cleaned Data'!AJF:AJF,"1")</f>
        <v>1</v>
      </c>
      <c r="H186" s="24">
        <f>COUNTIF('MINGALA_Cleaned Data'!AJG:AJG,"1")</f>
        <v>0</v>
      </c>
      <c r="I186" s="24">
        <f>COUNTIF('MINGALA_Cleaned Data'!AJH:AJH,"1")</f>
        <v>0</v>
      </c>
    </row>
    <row r="187" spans="1:16" ht="37.5" x14ac:dyDescent="0.3">
      <c r="B187" s="53" t="s">
        <v>3286</v>
      </c>
      <c r="C187" s="7">
        <f>C186/$B$181</f>
        <v>0</v>
      </c>
      <c r="D187" s="7">
        <f t="shared" ref="D187:I187" si="15">D186/$B$181</f>
        <v>0</v>
      </c>
      <c r="E187" s="7">
        <f t="shared" si="15"/>
        <v>0</v>
      </c>
      <c r="F187" s="7">
        <f t="shared" si="15"/>
        <v>0</v>
      </c>
      <c r="G187" s="7">
        <f t="shared" si="15"/>
        <v>1</v>
      </c>
      <c r="H187" s="7">
        <f t="shared" si="15"/>
        <v>0</v>
      </c>
      <c r="I187" s="7">
        <f t="shared" si="15"/>
        <v>0</v>
      </c>
    </row>
    <row r="189" spans="1:16" x14ac:dyDescent="0.3">
      <c r="B189" s="18" t="s">
        <v>1265</v>
      </c>
      <c r="D189" s="103" t="s">
        <v>3245</v>
      </c>
    </row>
    <row r="190" spans="1:16" ht="70" x14ac:dyDescent="0.35">
      <c r="B190" s="3"/>
      <c r="C190" s="11" t="s">
        <v>1534</v>
      </c>
      <c r="D190" s="11" t="s">
        <v>1535</v>
      </c>
      <c r="E190" s="11" t="s">
        <v>1985</v>
      </c>
      <c r="F190" s="11" t="s">
        <v>1536</v>
      </c>
      <c r="G190" s="11" t="s">
        <v>1986</v>
      </c>
      <c r="H190" s="11" t="s">
        <v>1987</v>
      </c>
      <c r="I190" s="11" t="s">
        <v>1988</v>
      </c>
      <c r="J190" s="11" t="s">
        <v>1526</v>
      </c>
      <c r="K190" s="11" t="s">
        <v>1527</v>
      </c>
      <c r="L190" s="11" t="s">
        <v>1525</v>
      </c>
      <c r="M190" s="11" t="s">
        <v>1905</v>
      </c>
      <c r="N190" s="11" t="s">
        <v>1205</v>
      </c>
      <c r="P190" s="23"/>
    </row>
    <row r="191" spans="1:16" x14ac:dyDescent="0.3">
      <c r="B191" s="3" t="s">
        <v>1207</v>
      </c>
      <c r="C191" s="24">
        <f>COUNTIF('MINGALA_Cleaned Data'!AJK:AJK,"1")</f>
        <v>0</v>
      </c>
      <c r="D191" s="24">
        <f>COUNTIF('MINGALA_Cleaned Data'!AJL:AJL,"1")</f>
        <v>0</v>
      </c>
      <c r="E191" s="24">
        <f>COUNTIF('MINGALA_Cleaned Data'!AJM:AJM,"1")</f>
        <v>0</v>
      </c>
      <c r="F191" s="24">
        <f>COUNTIF('MINGALA_Cleaned Data'!AJN:AJN,"1")</f>
        <v>0</v>
      </c>
      <c r="G191" s="24">
        <f>COUNTIF('MINGALA_Cleaned Data'!AJO:AJO,"1")</f>
        <v>0</v>
      </c>
      <c r="H191" s="24">
        <f>COUNTIF('MINGALA_Cleaned Data'!AJP:AJP,"1")</f>
        <v>0</v>
      </c>
      <c r="I191" s="24">
        <f>COUNTIF('MINGALA_Cleaned Data'!AJQ:AJQ,"1")</f>
        <v>0</v>
      </c>
      <c r="J191" s="24">
        <f>COUNTIF('MINGALA_Cleaned Data'!AJR:AJR,"1")</f>
        <v>1</v>
      </c>
      <c r="K191" s="24">
        <f>COUNTIF('MINGALA_Cleaned Data'!AJS:AJS,"1")</f>
        <v>0</v>
      </c>
      <c r="L191" s="24">
        <f>COUNTIF('MINGALA_Cleaned Data'!AJT:AJT,"1")</f>
        <v>0</v>
      </c>
      <c r="M191" s="24">
        <f>COUNTIF('MINGALA_Cleaned Data'!AJU:AJU,"1")</f>
        <v>0</v>
      </c>
      <c r="N191" s="24">
        <f>COUNTIF('MINGALA_Cleaned Data'!AJV:AJV,"1")</f>
        <v>1</v>
      </c>
    </row>
    <row r="192" spans="1:16" ht="37.5" x14ac:dyDescent="0.3">
      <c r="B192" s="53" t="s">
        <v>3286</v>
      </c>
      <c r="C192" s="7">
        <f>C191/$B$181</f>
        <v>0</v>
      </c>
      <c r="D192" s="7">
        <f t="shared" ref="D192:N192" si="16">D191/$B$181</f>
        <v>0</v>
      </c>
      <c r="E192" s="7">
        <f t="shared" si="16"/>
        <v>0</v>
      </c>
      <c r="F192" s="7">
        <f t="shared" si="16"/>
        <v>0</v>
      </c>
      <c r="G192" s="7">
        <f t="shared" si="16"/>
        <v>0</v>
      </c>
      <c r="H192" s="7">
        <f t="shared" si="16"/>
        <v>0</v>
      </c>
      <c r="I192" s="7">
        <f t="shared" si="16"/>
        <v>0</v>
      </c>
      <c r="J192" s="7">
        <f t="shared" si="16"/>
        <v>1</v>
      </c>
      <c r="K192" s="7">
        <f t="shared" si="16"/>
        <v>0</v>
      </c>
      <c r="L192" s="7">
        <f t="shared" si="16"/>
        <v>0</v>
      </c>
      <c r="M192" s="7">
        <f t="shared" si="16"/>
        <v>0</v>
      </c>
      <c r="N192" s="7">
        <f t="shared" si="16"/>
        <v>1</v>
      </c>
    </row>
    <row r="193" spans="1:14" x14ac:dyDescent="0.3">
      <c r="B193" s="50"/>
      <c r="N193" s="74" t="s">
        <v>3348</v>
      </c>
    </row>
    <row r="194" spans="1:14" x14ac:dyDescent="0.3">
      <c r="B194" s="18" t="s">
        <v>1407</v>
      </c>
    </row>
    <row r="195" spans="1:14" x14ac:dyDescent="0.3">
      <c r="B195" s="3"/>
      <c r="C195" s="11" t="s">
        <v>1210</v>
      </c>
      <c r="D195" s="11" t="s">
        <v>1209</v>
      </c>
      <c r="E195" s="114" t="s">
        <v>1206</v>
      </c>
    </row>
    <row r="196" spans="1:14" x14ac:dyDescent="0.3">
      <c r="B196" s="3" t="s">
        <v>1207</v>
      </c>
      <c r="C196" s="24">
        <f>COUNTIF('MINGALA_Cleaned Data'!AJX:AJX,"OUI")</f>
        <v>1</v>
      </c>
      <c r="D196" s="24">
        <f>COUNTIF('MINGALA_Cleaned Data'!AJX:AJX,"non")</f>
        <v>0</v>
      </c>
      <c r="E196" s="111">
        <f>SUM(C196:D196)</f>
        <v>1</v>
      </c>
    </row>
    <row r="197" spans="1:14" ht="37.5" x14ac:dyDescent="0.3">
      <c r="B197" s="53" t="s">
        <v>3286</v>
      </c>
      <c r="C197" s="7">
        <f>(C196/$B$181)</f>
        <v>1</v>
      </c>
      <c r="D197" s="7">
        <f>(D196/$B$181)</f>
        <v>0</v>
      </c>
      <c r="E197" s="7">
        <f>SUM(C197:D197)</f>
        <v>1</v>
      </c>
    </row>
    <row r="199" spans="1:14" x14ac:dyDescent="0.3">
      <c r="C199" s="18" t="s">
        <v>1270</v>
      </c>
      <c r="E199" s="103" t="s">
        <v>3245</v>
      </c>
    </row>
    <row r="200" spans="1:14" x14ac:dyDescent="0.3">
      <c r="C200" s="3"/>
      <c r="D200" s="11" t="s">
        <v>1271</v>
      </c>
      <c r="E200" s="11" t="s">
        <v>1272</v>
      </c>
      <c r="F200" s="11" t="s">
        <v>1273</v>
      </c>
      <c r="G200" s="11" t="s">
        <v>1274</v>
      </c>
      <c r="H200" s="11" t="s">
        <v>1205</v>
      </c>
    </row>
    <row r="201" spans="1:14" x14ac:dyDescent="0.3">
      <c r="C201" s="3" t="s">
        <v>1207</v>
      </c>
      <c r="D201" s="4">
        <f>COUNTIF('MINGALA_Cleaned Data'!AJZ:AJZ,"1")</f>
        <v>0</v>
      </c>
      <c r="E201" s="4">
        <f>COUNTIF('MINGALA_Cleaned Data'!AKA:AKA,"1")</f>
        <v>0</v>
      </c>
      <c r="F201" s="4">
        <f>COUNTIF('MINGALA_Cleaned Data'!AKB:AKB,"1")</f>
        <v>0</v>
      </c>
      <c r="G201" s="4">
        <f>COUNTIF('MINGALA_Cleaned Data'!AKC:AKC,"1")</f>
        <v>0</v>
      </c>
      <c r="H201" s="4">
        <f>COUNTIF('MINGALA_Cleaned Data'!AKD:AKD,"1")</f>
        <v>0</v>
      </c>
    </row>
    <row r="202" spans="1:14" ht="49" x14ac:dyDescent="0.3">
      <c r="C202" s="53" t="s">
        <v>3287</v>
      </c>
      <c r="D202" s="7" t="e">
        <f>D201/$D$196</f>
        <v>#DIV/0!</v>
      </c>
      <c r="E202" s="7" t="e">
        <f t="shared" ref="E202:H202" si="17">E201/$D$196</f>
        <v>#DIV/0!</v>
      </c>
      <c r="F202" s="7" t="e">
        <f t="shared" si="17"/>
        <v>#DIV/0!</v>
      </c>
      <c r="G202" s="7" t="e">
        <f t="shared" si="17"/>
        <v>#DIV/0!</v>
      </c>
      <c r="H202" s="7" t="e">
        <f t="shared" si="17"/>
        <v>#DIV/0!</v>
      </c>
    </row>
    <row r="204" spans="1:14" ht="15.5" x14ac:dyDescent="0.35">
      <c r="A204" s="9" t="s">
        <v>1301</v>
      </c>
      <c r="C204" s="103" t="s">
        <v>3245</v>
      </c>
    </row>
    <row r="206" spans="1:14" ht="70" x14ac:dyDescent="0.3">
      <c r="A206" s="8" t="s">
        <v>1534</v>
      </c>
      <c r="B206" s="8" t="s">
        <v>1535</v>
      </c>
      <c r="C206" s="8" t="s">
        <v>1985</v>
      </c>
      <c r="D206" s="8" t="s">
        <v>1536</v>
      </c>
      <c r="E206" s="8" t="s">
        <v>1986</v>
      </c>
      <c r="F206" s="8" t="s">
        <v>1987</v>
      </c>
      <c r="G206" s="8" t="s">
        <v>1988</v>
      </c>
      <c r="H206" s="8" t="s">
        <v>1526</v>
      </c>
      <c r="I206" s="8" t="s">
        <v>1527</v>
      </c>
      <c r="J206" s="8" t="s">
        <v>1525</v>
      </c>
      <c r="K206" s="8" t="s">
        <v>1905</v>
      </c>
      <c r="L206" s="8" t="s">
        <v>1205</v>
      </c>
    </row>
    <row r="207" spans="1:14" x14ac:dyDescent="0.3">
      <c r="A207" s="24">
        <f>COUNTIF('MINGALA_Cleaned Data'!AKG:AKG,"1")</f>
        <v>1</v>
      </c>
      <c r="B207" s="24">
        <f>COUNTIF('MINGALA_Cleaned Data'!AKH:AKH,"1")</f>
        <v>0</v>
      </c>
      <c r="C207" s="24">
        <f>COUNTIF('MINGALA_Cleaned Data'!AKI:AKI,"1")</f>
        <v>2</v>
      </c>
      <c r="D207" s="24">
        <f>COUNTIF('MINGALA_Cleaned Data'!AKJ:AKJ,"1")</f>
        <v>2</v>
      </c>
      <c r="E207" s="24">
        <f>COUNTIF('MINGALA_Cleaned Data'!AKK:AKK,"1")</f>
        <v>0</v>
      </c>
      <c r="F207" s="24">
        <f>COUNTIF('MINGALA_Cleaned Data'!AKL:AKL,"1")</f>
        <v>1</v>
      </c>
      <c r="G207" s="24">
        <f>COUNTIF('MINGALA_Cleaned Data'!AKM:AKM,"1")</f>
        <v>1</v>
      </c>
      <c r="H207" s="24">
        <f>COUNTIF('MINGALA_Cleaned Data'!AKN:AKN,"1")</f>
        <v>1</v>
      </c>
      <c r="I207" s="24">
        <f>COUNTIF('MINGALA_Cleaned Data'!AKO:AKO,"1")</f>
        <v>0</v>
      </c>
      <c r="J207" s="24">
        <f>COUNTIF('MINGALA_Cleaned Data'!AKP:AKP,"1")</f>
        <v>0</v>
      </c>
      <c r="K207" s="24">
        <f>COUNTIF('MINGALA_Cleaned Data'!AKQ:AKQ,"1")</f>
        <v>0</v>
      </c>
      <c r="L207" s="24">
        <f>COUNTIF('MINGALA_Cleaned Data'!AKR:AKR,"1")</f>
        <v>0</v>
      </c>
    </row>
    <row r="208" spans="1:14" x14ac:dyDescent="0.3">
      <c r="L208" s="74"/>
    </row>
  </sheetData>
  <conditionalFormatting sqref="B53:L53">
    <cfRule type="colorScale" priority="34">
      <colorScale>
        <cfvo type="min"/>
        <cfvo type="max"/>
        <color theme="6" tint="0.79998168889431442"/>
        <color theme="5" tint="0.39997558519241921"/>
      </colorScale>
    </cfRule>
  </conditionalFormatting>
  <conditionalFormatting sqref="C112:F112">
    <cfRule type="colorScale" priority="33">
      <colorScale>
        <cfvo type="min"/>
        <cfvo type="max"/>
        <color theme="6" tint="0.79998168889431442"/>
        <color theme="5" tint="0.39997558519241921"/>
      </colorScale>
    </cfRule>
  </conditionalFormatting>
  <conditionalFormatting sqref="C117:I117">
    <cfRule type="colorScale" priority="32">
      <colorScale>
        <cfvo type="min"/>
        <cfvo type="max"/>
        <color theme="6" tint="0.79998168889431442"/>
        <color theme="5" tint="0.39997558519241921"/>
      </colorScale>
    </cfRule>
  </conditionalFormatting>
  <conditionalFormatting sqref="C122:J122">
    <cfRule type="colorScale" priority="31">
      <colorScale>
        <cfvo type="min"/>
        <cfvo type="max"/>
        <color theme="6" tint="0.79998168889431442"/>
        <color theme="5" tint="0.39997558519241921"/>
      </colorScale>
    </cfRule>
  </conditionalFormatting>
  <conditionalFormatting sqref="A164:F165">
    <cfRule type="colorScale" priority="35">
      <colorScale>
        <cfvo type="min"/>
        <cfvo type="max"/>
        <color theme="6" tint="0.79998168889431442"/>
        <color theme="5" tint="0.39997558519241921"/>
      </colorScale>
    </cfRule>
  </conditionalFormatting>
  <conditionalFormatting sqref="B168:F168">
    <cfRule type="colorScale" priority="30">
      <colorScale>
        <cfvo type="min"/>
        <cfvo type="max"/>
        <color theme="6" tint="0.79998168889431442"/>
        <color theme="5" tint="0.39997558519241921"/>
      </colorScale>
    </cfRule>
  </conditionalFormatting>
  <conditionalFormatting sqref="A173:J173">
    <cfRule type="colorScale" priority="36">
      <colorScale>
        <cfvo type="min"/>
        <cfvo type="max"/>
        <color theme="6" tint="0.79998168889431442"/>
        <color theme="5" tint="0.39997558519241921"/>
      </colorScale>
    </cfRule>
  </conditionalFormatting>
  <conditionalFormatting sqref="A177:M177">
    <cfRule type="colorScale" priority="29">
      <colorScale>
        <cfvo type="min"/>
        <cfvo type="max"/>
        <color theme="6" tint="0.79998168889431442"/>
        <color theme="5" tint="0.39997558519241921"/>
      </colorScale>
    </cfRule>
  </conditionalFormatting>
  <conditionalFormatting sqref="D201:H201">
    <cfRule type="colorScale" priority="28">
      <colorScale>
        <cfvo type="min"/>
        <cfvo type="max"/>
        <color theme="6" tint="0.79998168889431442"/>
        <color theme="5" tint="0.39997558519241921"/>
      </colorScale>
    </cfRule>
  </conditionalFormatting>
  <conditionalFormatting sqref="A207:L207">
    <cfRule type="colorScale" priority="27">
      <colorScale>
        <cfvo type="min"/>
        <cfvo type="max"/>
        <color theme="6" tint="0.79998168889431442"/>
        <color theme="5" tint="0.39997558519241921"/>
      </colorScale>
    </cfRule>
  </conditionalFormatting>
  <conditionalFormatting sqref="C191:N191">
    <cfRule type="colorScale" priority="26">
      <colorScale>
        <cfvo type="min"/>
        <cfvo type="max"/>
        <color theme="6" tint="0.79998168889431442"/>
        <color theme="5" tint="0.39997558519241921"/>
      </colorScale>
    </cfRule>
  </conditionalFormatting>
  <conditionalFormatting sqref="B7:E7">
    <cfRule type="colorScale" priority="25">
      <colorScale>
        <cfvo type="min"/>
        <cfvo type="max"/>
        <color theme="6" tint="0.79998168889431442"/>
        <color theme="5" tint="0.39997558519241921"/>
      </colorScale>
    </cfRule>
  </conditionalFormatting>
  <conditionalFormatting sqref="B18:D18">
    <cfRule type="colorScale" priority="24">
      <colorScale>
        <cfvo type="min"/>
        <cfvo type="max"/>
        <color theme="6" tint="0.79998168889431442"/>
        <color theme="5" tint="0.39997558519241921"/>
      </colorScale>
    </cfRule>
  </conditionalFormatting>
  <conditionalFormatting sqref="B23:D23">
    <cfRule type="colorScale" priority="23">
      <colorScale>
        <cfvo type="min"/>
        <cfvo type="max"/>
        <color theme="6" tint="0.79998168889431442"/>
        <color theme="5" tint="0.39997558519241921"/>
      </colorScale>
    </cfRule>
  </conditionalFormatting>
  <conditionalFormatting sqref="C28:K28">
    <cfRule type="colorScale" priority="22">
      <colorScale>
        <cfvo type="min"/>
        <cfvo type="max"/>
        <color theme="6" tint="0.79998168889431442"/>
        <color theme="5" tint="0.39997558519241921"/>
      </colorScale>
    </cfRule>
  </conditionalFormatting>
  <conditionalFormatting sqref="C38:J38">
    <cfRule type="colorScale" priority="21">
      <colorScale>
        <cfvo type="min"/>
        <cfvo type="max"/>
        <color theme="6" tint="0.79998168889431442"/>
        <color theme="5" tint="0.39997558519241921"/>
      </colorScale>
    </cfRule>
  </conditionalFormatting>
  <conditionalFormatting sqref="C33:G33">
    <cfRule type="colorScale" priority="20">
      <colorScale>
        <cfvo type="min"/>
        <cfvo type="max"/>
        <color theme="6" tint="0.79998168889431442"/>
        <color theme="5" tint="0.39997558519241921"/>
      </colorScale>
    </cfRule>
  </conditionalFormatting>
  <conditionalFormatting sqref="C43:G43">
    <cfRule type="colorScale" priority="19">
      <colorScale>
        <cfvo type="min"/>
        <cfvo type="max"/>
        <color theme="6" tint="0.79998168889431442"/>
        <color theme="5" tint="0.39997558519241921"/>
      </colorScale>
    </cfRule>
  </conditionalFormatting>
  <conditionalFormatting sqref="B48:H48">
    <cfRule type="colorScale" priority="18">
      <colorScale>
        <cfvo type="min"/>
        <cfvo type="max"/>
        <color theme="6" tint="0.79998168889431442"/>
        <color theme="5" tint="0.39997558519241921"/>
      </colorScale>
    </cfRule>
  </conditionalFormatting>
  <conditionalFormatting sqref="B58:C58">
    <cfRule type="colorScale" priority="17">
      <colorScale>
        <cfvo type="min"/>
        <cfvo type="max"/>
        <color theme="6" tint="0.79998168889431442"/>
        <color theme="5" tint="0.39997558519241921"/>
      </colorScale>
    </cfRule>
  </conditionalFormatting>
  <conditionalFormatting sqref="C66:D66">
    <cfRule type="colorScale" priority="16">
      <colorScale>
        <cfvo type="min"/>
        <cfvo type="max"/>
        <color theme="6" tint="0.79998168889431442"/>
        <color theme="5" tint="0.39997558519241921"/>
      </colorScale>
    </cfRule>
  </conditionalFormatting>
  <conditionalFormatting sqref="C76:D76">
    <cfRule type="colorScale" priority="15">
      <colorScale>
        <cfvo type="min"/>
        <cfvo type="max"/>
        <color theme="6" tint="0.79998168889431442"/>
        <color theme="5" tint="0.39997558519241921"/>
      </colorScale>
    </cfRule>
  </conditionalFormatting>
  <conditionalFormatting sqref="B81:C81">
    <cfRule type="colorScale" priority="14">
      <colorScale>
        <cfvo type="min"/>
        <cfvo type="max"/>
        <color theme="6" tint="0.79998168889431442"/>
        <color theme="5" tint="0.39997558519241921"/>
      </colorScale>
    </cfRule>
  </conditionalFormatting>
  <conditionalFormatting sqref="B148:C148">
    <cfRule type="colorScale" priority="13">
      <colorScale>
        <cfvo type="min"/>
        <cfvo type="max"/>
        <color theme="6" tint="0.79998168889431442"/>
        <color theme="5" tint="0.39997558519241921"/>
      </colorScale>
    </cfRule>
  </conditionalFormatting>
  <conditionalFormatting sqref="B107:C107">
    <cfRule type="colorScale" priority="12">
      <colorScale>
        <cfvo type="min"/>
        <cfvo type="max"/>
        <color theme="6" tint="0.79998168889431442"/>
        <color theme="5" tint="0.39997558519241921"/>
      </colorScale>
    </cfRule>
  </conditionalFormatting>
  <conditionalFormatting sqref="B136:D136">
    <cfRule type="colorScale" priority="11">
      <colorScale>
        <cfvo type="min"/>
        <cfvo type="max"/>
        <color theme="6" tint="0.79998168889431442"/>
        <color theme="5" tint="0.39997558519241921"/>
      </colorScale>
    </cfRule>
  </conditionalFormatting>
  <conditionalFormatting sqref="B141:D141">
    <cfRule type="colorScale" priority="10">
      <colorScale>
        <cfvo type="min"/>
        <cfvo type="max"/>
        <color theme="6" tint="0.79998168889431442"/>
        <color theme="5" tint="0.39997558519241921"/>
      </colorScale>
    </cfRule>
  </conditionalFormatting>
  <conditionalFormatting sqref="B153:C153">
    <cfRule type="colorScale" priority="9">
      <colorScale>
        <cfvo type="min"/>
        <cfvo type="max"/>
        <color theme="6" tint="0.79998168889431442"/>
        <color theme="5" tint="0.39997558519241921"/>
      </colorScale>
    </cfRule>
  </conditionalFormatting>
  <conditionalFormatting sqref="F158:G158">
    <cfRule type="colorScale" priority="8">
      <colorScale>
        <cfvo type="min"/>
        <cfvo type="max"/>
        <color theme="6" tint="0.79998168889431442"/>
        <color theme="5" tint="0.39997558519241921"/>
      </colorScale>
    </cfRule>
  </conditionalFormatting>
  <conditionalFormatting sqref="B181:C181">
    <cfRule type="colorScale" priority="7">
      <colorScale>
        <cfvo type="min"/>
        <cfvo type="max"/>
        <color theme="6" tint="0.79998168889431442"/>
        <color theme="5" tint="0.39997558519241921"/>
      </colorScale>
    </cfRule>
  </conditionalFormatting>
  <conditionalFormatting sqref="C186:I186">
    <cfRule type="colorScale" priority="6">
      <colorScale>
        <cfvo type="min"/>
        <cfvo type="max"/>
        <color theme="6" tint="0.79998168889431442"/>
        <color theme="5" tint="0.39997558519241921"/>
      </colorScale>
    </cfRule>
  </conditionalFormatting>
  <conditionalFormatting sqref="C196:D196">
    <cfRule type="colorScale" priority="5">
      <colorScale>
        <cfvo type="min"/>
        <cfvo type="max"/>
        <color theme="6" tint="0.79998168889431442"/>
        <color theme="5" tint="0.39997558519241921"/>
      </colorScale>
    </cfRule>
  </conditionalFormatting>
  <conditionalFormatting sqref="B12:F12">
    <cfRule type="colorScale" priority="4">
      <colorScale>
        <cfvo type="min"/>
        <cfvo type="max"/>
        <color theme="6" tint="0.79998168889431442"/>
        <color theme="5" tint="0.39997558519241921"/>
      </colorScale>
    </cfRule>
  </conditionalFormatting>
  <conditionalFormatting sqref="D148">
    <cfRule type="colorScale" priority="3">
      <colorScale>
        <cfvo type="min"/>
        <cfvo type="max"/>
        <color theme="6" tint="0.79998168889431442"/>
        <color theme="5" tint="0.39997558519241921"/>
      </colorScale>
    </cfRule>
  </conditionalFormatting>
  <conditionalFormatting sqref="C86:K86">
    <cfRule type="colorScale" priority="2">
      <colorScale>
        <cfvo type="min"/>
        <cfvo type="max"/>
        <color theme="6" tint="0.79998168889431442"/>
        <color theme="5" tint="0.39997558519241921"/>
      </colorScale>
    </cfRule>
  </conditionalFormatting>
  <conditionalFormatting sqref="D10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P156"/>
  <sheetViews>
    <sheetView zoomScale="90" zoomScaleNormal="90" workbookViewId="0">
      <selection activeCell="F14" sqref="F14"/>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COUNTIFS('MINGALA_Cleaned Data'!N:N,"marche",'MINGALA_Cleaned Data'!J:J,"MINGALA")</f>
        <v>1</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COUNTIF('MINGALA_Cleaned Data'!AKU:AKU,"oui")</f>
        <v>1</v>
      </c>
      <c r="C7" s="24">
        <f>COUNTIF('MINGALA_Cleaned Data'!AKU:AKU,"non")</f>
        <v>0</v>
      </c>
      <c r="D7" s="24">
        <f>COUNTIF('MINGALA_Cleaned Data'!AKU:AKU,"partiel")</f>
        <v>0</v>
      </c>
      <c r="E7" s="62">
        <f>SUM(B7+D7)</f>
        <v>1</v>
      </c>
    </row>
    <row r="8" spans="1:10" ht="26" x14ac:dyDescent="0.3">
      <c r="A8" s="121" t="s">
        <v>3316</v>
      </c>
      <c r="B8" s="39">
        <f>(B7/$E$7)</f>
        <v>1</v>
      </c>
      <c r="C8" s="39">
        <f>(C7/$E$7)</f>
        <v>0</v>
      </c>
      <c r="D8" s="38">
        <f>COUNTIF('MINGALA_Cleaned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COUNTIF('MINGALA_Cleaned Data'!ALF:ALF,"oui")</f>
        <v>0</v>
      </c>
      <c r="C12" s="24">
        <f>COUNTIF('MINGALA_Cleaned Data'!ALF:ALF,"non")</f>
        <v>1</v>
      </c>
      <c r="D12" s="25">
        <f>SUM(B12:C12)</f>
        <v>1</v>
      </c>
    </row>
    <row r="13" spans="1:10" ht="26" x14ac:dyDescent="0.3">
      <c r="A13" s="121" t="s">
        <v>3316</v>
      </c>
      <c r="B13" s="39">
        <f>(B12/$B$3)</f>
        <v>0</v>
      </c>
      <c r="C13" s="39">
        <f>(C12/$B$3)</f>
        <v>1</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COUNTIF('MINGALA_Cleaned Data'!ALG:ALG,"oui")</f>
        <v>1</v>
      </c>
      <c r="D17" s="24">
        <f>COUNTIF('MINGALA_Cleaned Data'!ALG:ALG,"non")</f>
        <v>0</v>
      </c>
      <c r="E17" s="25">
        <f>SUM(C17:D17)</f>
        <v>1</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COUNTIF('MINGALA_Cleaned Data'!ALO:ALO,"1")</f>
        <v>1</v>
      </c>
      <c r="C22" s="24">
        <f>COUNTIF('MINGALA_Cleaned Data'!ALP:ALP,"1")</f>
        <v>0</v>
      </c>
      <c r="D22" s="24">
        <f>COUNTIF('MINGALA_Cleaned Data'!ALQ:ALQ,"1")</f>
        <v>1</v>
      </c>
      <c r="E22" s="24">
        <f>COUNTIF('MINGALA_Cleaned Data'!ALR:ALR,"1")</f>
        <v>0</v>
      </c>
      <c r="F22" s="24">
        <f>COUNTIF('MINGALA_Cleaned Data'!ALS:ALS,"1")</f>
        <v>0</v>
      </c>
      <c r="G22" s="24">
        <f>COUNTIF('MINGALA_Cleaned Data'!ALT:ALT,"1")</f>
        <v>0</v>
      </c>
      <c r="H22" s="24">
        <f>COUNTIF('MINGALA_Cleaned Data'!ALU:ALU,"1")</f>
        <v>0</v>
      </c>
      <c r="I22" s="24">
        <f>COUNTIF('MINGALA_Cleaned Data'!ALV:ALV,"1")</f>
        <v>0</v>
      </c>
    </row>
    <row r="23" spans="1:10" ht="26" x14ac:dyDescent="0.3">
      <c r="A23" s="121" t="s">
        <v>3319</v>
      </c>
      <c r="B23" s="39">
        <f>B22/$E$7</f>
        <v>1</v>
      </c>
      <c r="C23" s="39">
        <f t="shared" ref="C23:I23" si="0">C22/$E$7</f>
        <v>0</v>
      </c>
      <c r="D23" s="39">
        <f t="shared" si="0"/>
        <v>1</v>
      </c>
      <c r="E23" s="39">
        <f t="shared" si="0"/>
        <v>0</v>
      </c>
      <c r="F23" s="39">
        <f t="shared" si="0"/>
        <v>0</v>
      </c>
      <c r="G23" s="39">
        <f t="shared" si="0"/>
        <v>0</v>
      </c>
      <c r="H23" s="39">
        <f t="shared" si="0"/>
        <v>0</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IF('MINGALA_Cleaned Data'!AMW:AMW&lt;999,AVERAGE('MINGALA_Cleaned Data'!AMW:AMW))</f>
        <v>120</v>
      </c>
    </row>
    <row r="28" spans="1:10" ht="15.5" x14ac:dyDescent="0.35">
      <c r="A28" s="29" t="s">
        <v>1999</v>
      </c>
    </row>
    <row r="29" spans="1:10" x14ac:dyDescent="0.3">
      <c r="A29" s="24"/>
      <c r="B29" s="8" t="s">
        <v>1210</v>
      </c>
      <c r="C29" s="8" t="s">
        <v>1209</v>
      </c>
      <c r="D29" s="127" t="s">
        <v>1206</v>
      </c>
    </row>
    <row r="30" spans="1:10" x14ac:dyDescent="0.3">
      <c r="A30" s="24" t="s">
        <v>1207</v>
      </c>
      <c r="B30" s="24">
        <f>COUNTIF('MINGALA_Cleaned Data'!AMX:AMX,"oui")</f>
        <v>1</v>
      </c>
      <c r="C30" s="24">
        <f>COUNTIF('MINGALA_Cleaned Data'!AMX:AMX,"non")</f>
        <v>0</v>
      </c>
      <c r="D30" s="25">
        <f>SUM(B30:C30)</f>
        <v>1</v>
      </c>
    </row>
    <row r="31" spans="1:10" ht="26" x14ac:dyDescent="0.3">
      <c r="A31" s="121" t="s">
        <v>3319</v>
      </c>
      <c r="B31" s="39">
        <f>(B30/$E$7)</f>
        <v>1</v>
      </c>
      <c r="C31" s="39">
        <f>(C30/$E$7)</f>
        <v>0</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COUNTIF('MINGALA_Cleaned Data'!AMY:AMY,"peu_diminue")</f>
        <v>1</v>
      </c>
      <c r="D35" s="24">
        <f>COUNTIF('MINGALA_Cleaned Data'!AMY:AMY,"bcp_diminue")</f>
        <v>0</v>
      </c>
      <c r="E35" s="24">
        <f>COUNTIF('MINGALA_Cleaned Data'!AMY:AMY,"peu_augmente")</f>
        <v>0</v>
      </c>
      <c r="F35" s="24">
        <f>COUNTIF('MINGALA_Cleaned Data'!AMY:AMY,"bcp_augmente")</f>
        <v>0</v>
      </c>
      <c r="G35" s="25">
        <f>SUM(C35:F35)</f>
        <v>1</v>
      </c>
    </row>
    <row r="36" spans="1:13" ht="49" x14ac:dyDescent="0.3">
      <c r="B36" s="121" t="s">
        <v>3320</v>
      </c>
      <c r="C36" s="39">
        <f>C35/$B$30</f>
        <v>1</v>
      </c>
      <c r="D36" s="39">
        <f t="shared" ref="D36:F36" si="1">D35/$B$30</f>
        <v>0</v>
      </c>
      <c r="E36" s="39">
        <f t="shared" si="1"/>
        <v>0</v>
      </c>
      <c r="F36" s="39">
        <f t="shared" si="1"/>
        <v>0</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COUNTIF('MINGALA_Cleaned Data'!ANL:ANL,"1")</f>
        <v>0</v>
      </c>
      <c r="D40" s="24">
        <f>COUNTIF('MINGALA_Cleaned Data'!ANM:ANM,"1")</f>
        <v>0</v>
      </c>
      <c r="E40" s="24">
        <f>COUNTIF('MINGALA_Cleaned Data'!ANN:ANN,"1")</f>
        <v>0</v>
      </c>
      <c r="F40" s="24">
        <f>COUNTIF('MINGALA_Cleaned Data'!ANO:ANO,"1")</f>
        <v>0</v>
      </c>
      <c r="G40" s="24">
        <f>COUNTIF('MINGALA_Cleaned Data'!ANP:ANP,"1")</f>
        <v>0</v>
      </c>
      <c r="H40" s="24">
        <f>COUNTIF('MINGALA_Cleaned Data'!ANV:ANV,"1")</f>
        <v>0</v>
      </c>
      <c r="I40" s="24">
        <f>COUNTIF('MINGALA_Cleaned Data'!ANQ:ANQ,"1")</f>
        <v>1</v>
      </c>
      <c r="J40" s="24">
        <f>COUNTIF('MINGALA_Cleaned Data'!ANR:ANR,"1")</f>
        <v>0</v>
      </c>
      <c r="K40" s="24">
        <f>COUNTIF('MINGALA_Cleaned Data'!ANS:ANS,"1")</f>
        <v>0</v>
      </c>
      <c r="L40" s="24">
        <f>COUNTIF('MINGALA_Cleaned Data'!ANT:ANT,"1")</f>
        <v>0</v>
      </c>
      <c r="M40" s="24">
        <f>COUNTIF('MINGALA_Cleaned Data'!ANU:ANU,"1")</f>
        <v>0</v>
      </c>
    </row>
    <row r="41" spans="1:13" ht="49" x14ac:dyDescent="0.3">
      <c r="B41" s="121" t="s">
        <v>3321</v>
      </c>
      <c r="C41" s="39">
        <f>C40/(C35+D35)</f>
        <v>0</v>
      </c>
      <c r="D41" s="39">
        <f>D40/(C35+D35)</f>
        <v>0</v>
      </c>
      <c r="E41" s="39">
        <f>E40/(C35+D35)</f>
        <v>0</v>
      </c>
      <c r="F41" s="39">
        <f>F40/(C35+D35)</f>
        <v>0</v>
      </c>
      <c r="G41" s="39">
        <f>G40/(C35+D35)</f>
        <v>0</v>
      </c>
      <c r="H41" s="39">
        <f>H40/(C35+D35)</f>
        <v>0</v>
      </c>
      <c r="I41" s="39">
        <f>I40/(C35+D35)</f>
        <v>1</v>
      </c>
      <c r="J41" s="39">
        <f>J40/(C35+D35)</f>
        <v>0</v>
      </c>
      <c r="K41" s="39">
        <f>K40/(C35+D35)</f>
        <v>0</v>
      </c>
      <c r="L41" s="39">
        <f>L40/(C35+D35)</f>
        <v>0</v>
      </c>
      <c r="M41" s="39">
        <f>M40/(C35+D35)</f>
        <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COUNTIF('MINGALA_Cleaned Data'!ANA:ANA,"1")</f>
        <v>0</v>
      </c>
      <c r="D45" s="24">
        <f>COUNTIF('MINGALA_Cleaned Data'!ANB:ANB,"1")</f>
        <v>0</v>
      </c>
      <c r="E45" s="24">
        <f>COUNTIF('MINGALA_Cleaned Data'!ANC:ANC,"1")</f>
        <v>0</v>
      </c>
      <c r="F45" s="24">
        <f>COUNTIF('MINGALA_Cleaned Data'!AND:AND,"1")</f>
        <v>0</v>
      </c>
      <c r="G45" s="24">
        <f>COUNTIF('MINGALA_Cleaned Data'!ANE:ANE,"1")</f>
        <v>0</v>
      </c>
      <c r="H45" s="24">
        <f>COUNTIF('MINGALA_Cleaned Data'!ANF:ANF,"1")</f>
        <v>0</v>
      </c>
      <c r="I45" s="24">
        <f>COUNTIF('MINGALA_Cleaned Data'!ANG:ANG,"1")</f>
        <v>0</v>
      </c>
      <c r="J45" s="24">
        <f>COUNTIF('MINGALA_Cleaned Data'!ANH:ANH,"1")</f>
        <v>0</v>
      </c>
      <c r="K45" s="24">
        <f>COUNTIF('MINGALA_Cleaned Data'!ANI:ANI,"1")</f>
        <v>0</v>
      </c>
      <c r="L45" s="41"/>
      <c r="M45" s="41"/>
    </row>
    <row r="46" spans="1:13" ht="49" x14ac:dyDescent="0.3">
      <c r="B46" s="121" t="s">
        <v>3322</v>
      </c>
      <c r="C46" s="39" t="e">
        <f>C45/(E35+F35)</f>
        <v>#DIV/0!</v>
      </c>
      <c r="D46" s="39" t="e">
        <f>D45/(E35+F35)</f>
        <v>#DIV/0!</v>
      </c>
      <c r="E46" s="39" t="e">
        <f>E45/(E35+F35)</f>
        <v>#DIV/0!</v>
      </c>
      <c r="F46" s="39" t="e">
        <f>F45/(E35+F35)</f>
        <v>#DIV/0!</v>
      </c>
      <c r="G46" s="39" t="e">
        <f>G45/(E35+F35)</f>
        <v>#DIV/0!</v>
      </c>
      <c r="H46" s="39" t="e">
        <f>H45/(E35+F35)</f>
        <v>#DIV/0!</v>
      </c>
      <c r="I46" s="39" t="e">
        <f>I45/(E35+F35)</f>
        <v>#DIV/0!</v>
      </c>
      <c r="J46" s="39" t="e">
        <f>J45/(E35+F35)</f>
        <v>#DIV/0!</v>
      </c>
      <c r="K46" s="39" t="e">
        <f>K45/(E35+F35)</f>
        <v>#DIV/0!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COUNTIF('MINGALA_Cleaned Data'!ANX:ANX,"oui")</f>
        <v>0</v>
      </c>
      <c r="C50" s="24">
        <f>COUNTIF('MINGALA_Cleaned Data'!ANX:ANX,"non")</f>
        <v>1</v>
      </c>
      <c r="D50" s="25">
        <f>SUM(B50:C50)</f>
        <v>1</v>
      </c>
    </row>
    <row r="51" spans="1:12" ht="26" x14ac:dyDescent="0.3">
      <c r="A51" s="121" t="s">
        <v>3319</v>
      </c>
      <c r="B51" s="39">
        <f>(B50/$E$7)</f>
        <v>0</v>
      </c>
      <c r="C51" s="39">
        <f>(C50/$E$7)</f>
        <v>1</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COUNTIF('MINGALA_Cleaned Data'!ARH:ARH,"1")</f>
        <v>0</v>
      </c>
      <c r="C55" s="38">
        <f>COUNTIF('MINGALA_Cleaned Data'!ARI:ARI,"1")</f>
        <v>0</v>
      </c>
      <c r="D55" s="38">
        <f>COUNTIF('MINGALA_Cleaned Data'!ARJ:ARJ,"1")</f>
        <v>1</v>
      </c>
      <c r="E55" s="38">
        <f>COUNTIF('MINGALA_Cleaned Data'!ARQ:ARQ,"1")</f>
        <v>0</v>
      </c>
      <c r="F55" s="38">
        <f>COUNTIF('MINGALA_Cleaned Data'!ARR:ARR,"1")</f>
        <v>0</v>
      </c>
      <c r="G55" s="38">
        <f>COUNTIF('MINGALA_Cleaned Data'!ARK:ARK,"1")</f>
        <v>0</v>
      </c>
      <c r="H55" s="38">
        <f>COUNTIF('MINGALA_Cleaned Data'!ARL:ARL,"1")</f>
        <v>0</v>
      </c>
      <c r="I55" s="38">
        <f>COUNTIF('MINGALA_Cleaned Data'!ARM:ARM,"1")</f>
        <v>0</v>
      </c>
      <c r="J55" s="38">
        <f>COUNTIF('MINGALA_Cleaned Data'!ARS:ARS,"1")</f>
        <v>0</v>
      </c>
      <c r="K55" s="38">
        <f>COUNTIF('MINGALA_Cleaned Data'!ARO:ARO,"1")</f>
        <v>0</v>
      </c>
      <c r="L55" s="38">
        <f>COUNTIF('MINGALA_Cleaned Data'!ARP:ARP,"1")</f>
        <v>0</v>
      </c>
    </row>
    <row r="56" spans="1:12" ht="26" x14ac:dyDescent="0.3">
      <c r="A56" s="121" t="s">
        <v>3316</v>
      </c>
      <c r="B56" s="39">
        <f t="shared" ref="B56:L56" si="2">B55/$B$3</f>
        <v>0</v>
      </c>
      <c r="C56" s="39">
        <f t="shared" si="2"/>
        <v>0</v>
      </c>
      <c r="D56" s="39">
        <f t="shared" si="2"/>
        <v>1</v>
      </c>
      <c r="E56" s="39">
        <f t="shared" si="2"/>
        <v>0</v>
      </c>
      <c r="F56" s="39">
        <f t="shared" si="2"/>
        <v>0</v>
      </c>
      <c r="G56" s="39">
        <f t="shared" si="2"/>
        <v>0</v>
      </c>
      <c r="H56" s="39">
        <f t="shared" si="2"/>
        <v>0</v>
      </c>
      <c r="I56" s="39">
        <f t="shared" si="2"/>
        <v>0</v>
      </c>
      <c r="J56" s="39">
        <f t="shared" si="2"/>
        <v>0</v>
      </c>
      <c r="K56" s="39">
        <f t="shared" si="2"/>
        <v>0</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COUNTIF('MINGALA_Cleaned Data'!AOA:AOA,"1")</f>
        <v>0</v>
      </c>
      <c r="C61" s="24">
        <f>COUNTIF('MINGALA_Cleaned Data'!AOB:AOB,"1")</f>
        <v>1</v>
      </c>
      <c r="D61" s="24">
        <f>COUNTIF('MINGALA_Cleaned Data'!AOC:AOC,"1")</f>
        <v>0</v>
      </c>
      <c r="E61" s="24">
        <f>COUNTIF('MINGALA_Cleaned Data'!AOD:AOD,"1")</f>
        <v>0</v>
      </c>
      <c r="F61" s="24">
        <f>COUNTIF('MINGALA_Cleaned Data'!AOE:AOE,"1")</f>
        <v>0</v>
      </c>
      <c r="G61" s="24">
        <f>COUNTIF('MINGALA_Cleaned Data'!AOF:AOF,"1")</f>
        <v>0</v>
      </c>
      <c r="H61" s="24">
        <f>COUNTIF('MINGALA_Cleaned Data'!AOG:AOG,"1")</f>
        <v>0</v>
      </c>
      <c r="I61" s="24">
        <f>COUNTIF('MINGALA_Cleaned Data'!AOH:AOH,"1")</f>
        <v>0</v>
      </c>
      <c r="J61" s="14"/>
    </row>
    <row r="62" spans="1:12" ht="26" x14ac:dyDescent="0.3">
      <c r="A62" s="121" t="s">
        <v>3319</v>
      </c>
      <c r="B62" s="39">
        <f>B61/$E$7</f>
        <v>0</v>
      </c>
      <c r="C62" s="39">
        <f t="shared" ref="C62:I62" si="3">C61/$E$7</f>
        <v>1</v>
      </c>
      <c r="D62" s="39">
        <f t="shared" si="3"/>
        <v>0</v>
      </c>
      <c r="E62" s="39">
        <f t="shared" si="3"/>
        <v>0</v>
      </c>
      <c r="F62" s="39">
        <f t="shared" si="3"/>
        <v>0</v>
      </c>
      <c r="G62" s="39">
        <f t="shared" si="3"/>
        <v>0</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COUNTIF('MINGALA_Cleaned Data'!AOL:AOL,"local")</f>
        <v>0</v>
      </c>
      <c r="D66" s="24">
        <f>COUNTIF('MINGALA_Cleaned Data'!AOM:AOM,"local")</f>
        <v>0</v>
      </c>
      <c r="E66" s="24">
        <f>COUNTIF('MINGALA_Cleaned Data'!AON:AON,"local")</f>
        <v>0</v>
      </c>
      <c r="F66" s="24">
        <f>COUNTIF('MINGALA_Cleaned Data'!AOO:AOO,"local")</f>
        <v>0</v>
      </c>
      <c r="G66" s="24">
        <f>COUNTIF('MINGALA_Cleaned Data'!AOP:AOP,"local")</f>
        <v>0</v>
      </c>
      <c r="H66" s="24">
        <f>COUNTIF('MINGALA_Cleaned Data'!AOQ:AOQ,"local")</f>
        <v>0</v>
      </c>
      <c r="I66" s="25">
        <f>SUM(C66:H66)</f>
        <v>0</v>
      </c>
    </row>
    <row r="67" spans="1:9" ht="37.5" x14ac:dyDescent="0.3">
      <c r="B67" s="121" t="s">
        <v>3319</v>
      </c>
      <c r="C67" s="39">
        <f>C66/$E$7</f>
        <v>0</v>
      </c>
      <c r="D67" s="39">
        <f t="shared" ref="D67:H67" si="4">D66/$E$7</f>
        <v>0</v>
      </c>
      <c r="E67" s="39">
        <f t="shared" si="4"/>
        <v>0</v>
      </c>
      <c r="F67" s="39">
        <f t="shared" si="4"/>
        <v>0</v>
      </c>
      <c r="G67" s="39">
        <f t="shared" si="4"/>
        <v>0</v>
      </c>
      <c r="H67" s="39">
        <f t="shared" si="4"/>
        <v>0</v>
      </c>
      <c r="I67" s="128">
        <f>SUM(C67:H67)</f>
        <v>0</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COUNTIF('MINGALA_Cleaned Data'!AOJ:AOJ,"hebdo")</f>
        <v>0</v>
      </c>
      <c r="D71" s="24">
        <f>COUNTIF('MINGALA_Cleaned Data'!AOJ:AOJ,"mensuel")</f>
        <v>1</v>
      </c>
      <c r="E71" s="24">
        <f>COUNTIF('MINGALA_Cleaned Data'!AOJ:AOJ,"trimestriel")</f>
        <v>0</v>
      </c>
      <c r="F71" s="24">
        <f>COUNTIF('MINGALA_Cleaned Data'!AOJ:AOJ,"nsp")</f>
        <v>0</v>
      </c>
      <c r="G71" s="24">
        <f>COUNTIF('MINGALA_Cleaned Data'!AOJ:AOJ,"autre")</f>
        <v>0</v>
      </c>
      <c r="H71" s="25">
        <f>SUM(C71:G71)</f>
        <v>1</v>
      </c>
    </row>
    <row r="72" spans="1:9" ht="37.5" x14ac:dyDescent="0.3">
      <c r="B72" s="121" t="s">
        <v>3319</v>
      </c>
      <c r="C72" s="39">
        <f>C71/$E$7</f>
        <v>0</v>
      </c>
      <c r="D72" s="39">
        <f t="shared" ref="D72:G72" si="5">D71/$E$7</f>
        <v>1</v>
      </c>
      <c r="E72" s="39">
        <f t="shared" si="5"/>
        <v>0</v>
      </c>
      <c r="F72" s="39">
        <f t="shared" si="5"/>
        <v>0</v>
      </c>
      <c r="G72" s="39">
        <f t="shared" si="5"/>
        <v>0</v>
      </c>
      <c r="H72" s="128">
        <f>SUM(C72:G72)</f>
        <v>1</v>
      </c>
    </row>
    <row r="73" spans="1:9" x14ac:dyDescent="0.3">
      <c r="F73" s="74"/>
    </row>
    <row r="74" spans="1:9" ht="15.5" x14ac:dyDescent="0.35">
      <c r="A74" s="29" t="s">
        <v>3324</v>
      </c>
      <c r="C74" s="103" t="s">
        <v>3245</v>
      </c>
    </row>
    <row r="75" spans="1:9" ht="70" x14ac:dyDescent="0.3">
      <c r="A75" s="24"/>
      <c r="B75" s="35" t="s">
        <v>1355</v>
      </c>
      <c r="C75" s="35" t="s">
        <v>1356</v>
      </c>
      <c r="D75" s="35" t="s">
        <v>1352</v>
      </c>
      <c r="E75" s="35" t="s">
        <v>1353</v>
      </c>
      <c r="F75" s="35" t="s">
        <v>1354</v>
      </c>
      <c r="G75" s="35" t="s">
        <v>1357</v>
      </c>
      <c r="H75" s="35" t="s">
        <v>1905</v>
      </c>
      <c r="I75" s="35" t="s">
        <v>1220</v>
      </c>
    </row>
    <row r="76" spans="1:9" x14ac:dyDescent="0.3">
      <c r="A76" s="24" t="s">
        <v>1207</v>
      </c>
      <c r="B76" s="24">
        <f>COUNTIF('MINGALA_Cleaned Data'!AOP:AOP,"1")</f>
        <v>0</v>
      </c>
      <c r="C76" s="24">
        <f>COUNTIF('MINGALA_Cleaned Data'!AOQ:AOQ,"1")</f>
        <v>1</v>
      </c>
      <c r="D76" s="24">
        <f>COUNTIF('MINGALA_Cleaned Data'!AOR:AOR,"1")</f>
        <v>0</v>
      </c>
      <c r="E76" s="24">
        <f>COUNTIF('MINGALA_Cleaned Data'!AOS:AOS,"1")</f>
        <v>0</v>
      </c>
      <c r="F76" s="24">
        <f>COUNTIF('MINGALA_Cleaned Data'!AOT:AOT,"1")</f>
        <v>0</v>
      </c>
      <c r="G76" s="24">
        <f>COUNTIF('MINGALA_Cleaned Data'!AOU:AOU,"1")</f>
        <v>0</v>
      </c>
      <c r="H76" s="24">
        <f>COUNTIF('MINGALA_Cleaned Data'!AOV:AOV,"1")</f>
        <v>0</v>
      </c>
      <c r="I76" s="24">
        <f>COUNTIF('MINGALA_Cleaned Data'!AOW:AOW,"1")</f>
        <v>0</v>
      </c>
    </row>
    <row r="77" spans="1:9" ht="26" x14ac:dyDescent="0.3">
      <c r="A77" s="121" t="s">
        <v>3319</v>
      </c>
      <c r="B77" s="39">
        <f>B76/$E$7</f>
        <v>0</v>
      </c>
      <c r="C77" s="39">
        <f t="shared" ref="C77:I77" si="6">C76/$E$7</f>
        <v>1</v>
      </c>
      <c r="D77" s="39">
        <f t="shared" si="6"/>
        <v>0</v>
      </c>
      <c r="E77" s="39">
        <f t="shared" si="6"/>
        <v>0</v>
      </c>
      <c r="F77" s="39">
        <f t="shared" si="6"/>
        <v>0</v>
      </c>
      <c r="G77" s="39">
        <f t="shared" si="6"/>
        <v>0</v>
      </c>
      <c r="H77" s="39">
        <f t="shared" si="6"/>
        <v>0</v>
      </c>
      <c r="I77" s="39">
        <f t="shared" si="6"/>
        <v>0</v>
      </c>
    </row>
    <row r="78" spans="1:9" x14ac:dyDescent="0.3">
      <c r="A78" s="130"/>
    </row>
    <row r="79" spans="1:9" x14ac:dyDescent="0.3">
      <c r="B79" s="18" t="s">
        <v>1358</v>
      </c>
    </row>
    <row r="80" spans="1:9" ht="42" x14ac:dyDescent="0.3">
      <c r="B80" s="24"/>
      <c r="C80" s="40" t="s">
        <v>1359</v>
      </c>
      <c r="D80" s="40" t="s">
        <v>1360</v>
      </c>
      <c r="E80" s="40" t="s">
        <v>1361</v>
      </c>
      <c r="F80" s="40" t="s">
        <v>1362</v>
      </c>
      <c r="G80" s="40" t="s">
        <v>1905</v>
      </c>
      <c r="H80" s="40" t="s">
        <v>1220</v>
      </c>
      <c r="I80" s="127" t="s">
        <v>1206</v>
      </c>
    </row>
    <row r="81" spans="1:9" x14ac:dyDescent="0.3">
      <c r="B81" s="24" t="s">
        <v>1207</v>
      </c>
      <c r="C81" s="24">
        <f>COUNTIF('MINGALA_Cleaned Data'!APA:APA,"local")</f>
        <v>1</v>
      </c>
      <c r="D81" s="24">
        <f>COUNTIF('MINGALA_Cleaned Data'!APA:APA,"proche")</f>
        <v>0</v>
      </c>
      <c r="E81" s="24">
        <f>COUNTIF('MINGALA_Cleaned Data'!APA:APA,"bangui")</f>
        <v>0</v>
      </c>
      <c r="F81" s="24">
        <f>COUNTIF('MINGALA_Cleaned Data'!APA:APA,"exterieur")</f>
        <v>0</v>
      </c>
      <c r="G81" s="24">
        <f>COUNTIF('MINGALA_Cleaned Data'!APA:APA,"nsp")</f>
        <v>0</v>
      </c>
      <c r="H81" s="24">
        <f>COUNTIF('MINGALA_Cleaned Data'!APA:APA,"autre")</f>
        <v>0</v>
      </c>
      <c r="I81" s="25">
        <f>SUM(C81:H81)</f>
        <v>1</v>
      </c>
    </row>
    <row r="82" spans="1:9" ht="37.5" x14ac:dyDescent="0.3">
      <c r="B82" s="121" t="s">
        <v>3319</v>
      </c>
      <c r="C82" s="39">
        <f>C81/$E$7</f>
        <v>1</v>
      </c>
      <c r="D82" s="39">
        <f t="shared" ref="D82:H82" si="7">D81/$E$7</f>
        <v>0</v>
      </c>
      <c r="E82" s="39">
        <f t="shared" si="7"/>
        <v>0</v>
      </c>
      <c r="F82" s="39">
        <f t="shared" si="7"/>
        <v>0</v>
      </c>
      <c r="G82" s="39">
        <f t="shared" si="7"/>
        <v>0</v>
      </c>
      <c r="H82" s="39">
        <f t="shared" si="7"/>
        <v>0</v>
      </c>
      <c r="I82" s="128">
        <f>SUM(C82:H82)</f>
        <v>1</v>
      </c>
    </row>
    <row r="83" spans="1:9" x14ac:dyDescent="0.3">
      <c r="H83" s="129"/>
    </row>
    <row r="84" spans="1:9" x14ac:dyDescent="0.3">
      <c r="B84" s="18" t="s">
        <v>2000</v>
      </c>
    </row>
    <row r="85" spans="1:9" ht="28" x14ac:dyDescent="0.3">
      <c r="B85" s="24"/>
      <c r="C85" s="40" t="s">
        <v>2001</v>
      </c>
      <c r="D85" s="40" t="s">
        <v>2002</v>
      </c>
      <c r="E85" s="40" t="s">
        <v>2003</v>
      </c>
      <c r="F85" s="40" t="s">
        <v>1905</v>
      </c>
      <c r="G85" s="40" t="s">
        <v>1220</v>
      </c>
      <c r="H85" s="127" t="s">
        <v>1206</v>
      </c>
    </row>
    <row r="86" spans="1:9" x14ac:dyDescent="0.3">
      <c r="B86" s="24" t="s">
        <v>1207</v>
      </c>
      <c r="C86" s="24">
        <f>COUNTIF('MINGALA_Cleaned Data'!AOY:AOY,"hebdo")</f>
        <v>0</v>
      </c>
      <c r="D86" s="24">
        <f>COUNTIF('MINGALA_Cleaned Data'!AOY:AOY,"mensuel")</f>
        <v>1</v>
      </c>
      <c r="E86" s="24">
        <f>COUNTIF('MINGALA_Cleaned Data'!AOY:AOY,"trimestriel")</f>
        <v>0</v>
      </c>
      <c r="F86" s="24">
        <f>COUNTIF('MINGALA_Cleaned Data'!AOY:AOY,"nsp")</f>
        <v>0</v>
      </c>
      <c r="G86" s="24">
        <f>COUNTIF('MINGALA_Cleaned Data'!AOY:AOY,"autre")</f>
        <v>0</v>
      </c>
      <c r="H86" s="25">
        <f>SUM(C86:G86)</f>
        <v>1</v>
      </c>
    </row>
    <row r="87" spans="1:9" ht="37.5" x14ac:dyDescent="0.3">
      <c r="B87" s="121" t="s">
        <v>3319</v>
      </c>
      <c r="C87" s="39">
        <f>C86/$E$7</f>
        <v>0</v>
      </c>
      <c r="D87" s="39">
        <f t="shared" ref="D87:G87" si="8">D86/$E$7</f>
        <v>1</v>
      </c>
      <c r="E87" s="39">
        <f t="shared" si="8"/>
        <v>0</v>
      </c>
      <c r="F87" s="39">
        <f t="shared" si="8"/>
        <v>0</v>
      </c>
      <c r="G87" s="39">
        <f t="shared" si="8"/>
        <v>0</v>
      </c>
      <c r="H87" s="128">
        <f>SUM(C87:G87)</f>
        <v>1</v>
      </c>
    </row>
    <row r="88" spans="1:9" x14ac:dyDescent="0.3">
      <c r="F88" s="74"/>
    </row>
    <row r="89" spans="1:9" ht="15.5" x14ac:dyDescent="0.35">
      <c r="A89" s="9" t="s">
        <v>1363</v>
      </c>
    </row>
    <row r="90" spans="1:9" x14ac:dyDescent="0.3">
      <c r="A90" s="18" t="s">
        <v>2005</v>
      </c>
    </row>
    <row r="91" spans="1:9" x14ac:dyDescent="0.3">
      <c r="A91" s="24"/>
      <c r="B91" s="8" t="s">
        <v>1210</v>
      </c>
      <c r="C91" s="8" t="s">
        <v>1209</v>
      </c>
      <c r="D91" s="127" t="s">
        <v>1206</v>
      </c>
    </row>
    <row r="92" spans="1:9" x14ac:dyDescent="0.3">
      <c r="A92" s="24" t="s">
        <v>1207</v>
      </c>
      <c r="B92" s="24">
        <f>COUNTIF('MINGALA_Cleaned Data'!APF:APF,"oui")</f>
        <v>0</v>
      </c>
      <c r="C92" s="24">
        <f>COUNTIF('MINGALA_Cleaned Data'!APF:APF,"non")</f>
        <v>1</v>
      </c>
      <c r="D92" s="25">
        <f>SUM(B92:C92)</f>
        <v>1</v>
      </c>
    </row>
    <row r="93" spans="1:9" ht="26" x14ac:dyDescent="0.3">
      <c r="A93" s="121" t="s">
        <v>3319</v>
      </c>
      <c r="B93" s="39">
        <f>(B92/$E$7)</f>
        <v>0</v>
      </c>
      <c r="C93" s="39">
        <f>(C92/$E$7)</f>
        <v>1</v>
      </c>
      <c r="D93" s="128">
        <f>SUM(B93:C93)</f>
        <v>1</v>
      </c>
    </row>
    <row r="95" spans="1:9" x14ac:dyDescent="0.3">
      <c r="B95" s="18" t="s">
        <v>2006</v>
      </c>
    </row>
    <row r="96" spans="1:9" ht="28" x14ac:dyDescent="0.3">
      <c r="B96" s="24"/>
      <c r="C96" s="11" t="s">
        <v>1307</v>
      </c>
      <c r="D96" s="11" t="s">
        <v>1308</v>
      </c>
      <c r="E96" s="11" t="s">
        <v>1309</v>
      </c>
      <c r="F96" s="11" t="s">
        <v>1225</v>
      </c>
      <c r="G96" s="127" t="s">
        <v>1206</v>
      </c>
    </row>
    <row r="97" spans="1:9" x14ac:dyDescent="0.3">
      <c r="B97" s="24" t="s">
        <v>1207</v>
      </c>
      <c r="C97" s="24">
        <f>COUNTIF('MINGALA_Cleaned Data'!APG:APG,"peu_diminue")</f>
        <v>0</v>
      </c>
      <c r="D97" s="24">
        <f>COUNTIF('MINGALA_Cleaned Data'!APG:APG,"bcp_diminue")</f>
        <v>0</v>
      </c>
      <c r="E97" s="24">
        <f>COUNTIF('MINGALA_Cleaned Data'!APG:APG,"peu_augmente")</f>
        <v>0</v>
      </c>
      <c r="F97" s="24">
        <f>COUNTIF('MINGALA_Cleaned Data'!APG:APG,"bcp_augmente")</f>
        <v>0</v>
      </c>
      <c r="G97" s="25">
        <f>SUM(C97:F97)</f>
        <v>0</v>
      </c>
    </row>
    <row r="98" spans="1:9" ht="37.5" x14ac:dyDescent="0.3">
      <c r="B98" s="121" t="s">
        <v>3325</v>
      </c>
      <c r="C98" s="39" t="e">
        <f>C97/$B$92</f>
        <v>#DIV/0!</v>
      </c>
      <c r="D98" s="39" t="e">
        <f t="shared" ref="D98:F98" si="9">D97/$B$92</f>
        <v>#DIV/0!</v>
      </c>
      <c r="E98" s="39" t="e">
        <f t="shared" si="9"/>
        <v>#DIV/0!</v>
      </c>
      <c r="F98" s="39" t="e">
        <f t="shared" si="9"/>
        <v>#DIV/0!</v>
      </c>
      <c r="G98" s="128" t="e">
        <f>SUM(C98:F98)</f>
        <v>#DIV/0!</v>
      </c>
    </row>
    <row r="99" spans="1:9" x14ac:dyDescent="0.3">
      <c r="B99" s="14"/>
    </row>
    <row r="100" spans="1:9" x14ac:dyDescent="0.3">
      <c r="B100" s="18" t="s">
        <v>1310</v>
      </c>
      <c r="D100" s="103" t="s">
        <v>3245</v>
      </c>
    </row>
    <row r="101" spans="1:9" ht="70" x14ac:dyDescent="0.3">
      <c r="B101" s="24"/>
      <c r="C101" s="11" t="s">
        <v>1315</v>
      </c>
      <c r="D101" s="11" t="s">
        <v>1364</v>
      </c>
      <c r="E101" s="11" t="s">
        <v>1365</v>
      </c>
      <c r="F101" s="11" t="s">
        <v>1366</v>
      </c>
      <c r="G101" s="11" t="s">
        <v>1367</v>
      </c>
      <c r="H101" s="11" t="s">
        <v>1905</v>
      </c>
      <c r="I101" s="11" t="s">
        <v>1220</v>
      </c>
    </row>
    <row r="102" spans="1:9" x14ac:dyDescent="0.3">
      <c r="B102" s="24" t="s">
        <v>1207</v>
      </c>
      <c r="C102" s="24">
        <f>COUNTIF('MINGALA_Cleaned Data'!APR:APR,"1")</f>
        <v>0</v>
      </c>
      <c r="D102" s="24">
        <f>COUNTIF('MINGALA_Cleaned Data'!APS:APS,"1")</f>
        <v>0</v>
      </c>
      <c r="E102" s="24">
        <f>COUNTIF('MINGALA_Cleaned Data'!APT:APT,"1")</f>
        <v>0</v>
      </c>
      <c r="F102" s="24">
        <f>COUNTIF('MINGALA_Cleaned Data'!APU:APU,"1")</f>
        <v>0</v>
      </c>
      <c r="G102" s="24">
        <f>COUNTIF('MINGALA_Cleaned Data'!APV:APV,"1")</f>
        <v>0</v>
      </c>
      <c r="H102" s="24">
        <f>COUNTIF('MINGALA_Cleaned Data'!APW:APW,"1")</f>
        <v>0</v>
      </c>
      <c r="I102" s="24">
        <f>COUNTIF('MINGALA_Cleaned Data'!APX:APX,"1")</f>
        <v>0</v>
      </c>
    </row>
    <row r="103" spans="1:9" ht="42" customHeight="1" x14ac:dyDescent="0.3">
      <c r="B103" s="121" t="s">
        <v>3326</v>
      </c>
      <c r="C103" s="39" t="e">
        <f>D102/($C$97+$D$97)</f>
        <v>#DIV/0!</v>
      </c>
      <c r="D103" s="39" t="e">
        <f t="shared" ref="D103:I103" si="10">E102/($C$97+$D$97)</f>
        <v>#DIV/0!</v>
      </c>
      <c r="E103" s="39" t="e">
        <f t="shared" si="10"/>
        <v>#DIV/0!</v>
      </c>
      <c r="F103" s="39" t="e">
        <f t="shared" si="10"/>
        <v>#DIV/0!</v>
      </c>
      <c r="G103" s="39" t="e">
        <f t="shared" si="10"/>
        <v>#DIV/0!</v>
      </c>
      <c r="H103" s="39" t="e">
        <f t="shared" si="10"/>
        <v>#DIV/0!</v>
      </c>
      <c r="I103" s="39" t="e">
        <f t="shared" si="10"/>
        <v>#DIV/0!</v>
      </c>
    </row>
    <row r="105" spans="1:9" x14ac:dyDescent="0.3">
      <c r="B105" s="18" t="s">
        <v>1227</v>
      </c>
      <c r="D105" s="103" t="s">
        <v>3245</v>
      </c>
    </row>
    <row r="106" spans="1:9" ht="56" x14ac:dyDescent="0.3">
      <c r="B106" s="24"/>
      <c r="C106" s="11" t="s">
        <v>1311</v>
      </c>
      <c r="D106" s="11" t="s">
        <v>1312</v>
      </c>
      <c r="E106" s="11" t="s">
        <v>2324</v>
      </c>
      <c r="F106" s="11" t="s">
        <v>2325</v>
      </c>
      <c r="G106" s="11" t="s">
        <v>2326</v>
      </c>
      <c r="H106" s="11" t="s">
        <v>1905</v>
      </c>
      <c r="I106" s="11" t="s">
        <v>1205</v>
      </c>
    </row>
    <row r="107" spans="1:9" x14ac:dyDescent="0.3">
      <c r="B107" s="24" t="s">
        <v>1207</v>
      </c>
      <c r="C107" s="24">
        <f>COUNTIF('MINGALA_Cleaned Data'!API:API,"1")</f>
        <v>0</v>
      </c>
      <c r="D107" s="24">
        <f>COUNTIF('MINGALA_Cleaned Data'!APJ:APJ,"1")</f>
        <v>0</v>
      </c>
      <c r="E107" s="24">
        <f>COUNTIF('MINGALA_Cleaned Data'!APK:APK,"1")</f>
        <v>0</v>
      </c>
      <c r="F107" s="24">
        <f>COUNTIF('MINGALA_Cleaned Data'!APL:APL,"1")</f>
        <v>0</v>
      </c>
      <c r="G107" s="24">
        <f>COUNTIF('MINGALA_Cleaned Data'!APM:APM,"1")</f>
        <v>0</v>
      </c>
      <c r="H107" s="24">
        <f>COUNTIF('MINGALA_Cleaned Data'!APN:APN,"1")</f>
        <v>0</v>
      </c>
      <c r="I107" s="24">
        <f>COUNTIF('MINGALA_Cleaned Data'!APO:APO,"1")</f>
        <v>0</v>
      </c>
    </row>
    <row r="108" spans="1:9" ht="49" x14ac:dyDescent="0.3">
      <c r="B108" s="121" t="s">
        <v>3327</v>
      </c>
      <c r="C108" s="39" t="e">
        <f>C107/($E$97+$F$97)</f>
        <v>#DIV/0!</v>
      </c>
      <c r="D108" s="39" t="e">
        <f t="shared" ref="D108:I108" si="11">D107/($E$97+$F$97)</f>
        <v>#DIV/0!</v>
      </c>
      <c r="E108" s="39" t="e">
        <f t="shared" si="11"/>
        <v>#DIV/0!</v>
      </c>
      <c r="F108" s="39" t="e">
        <f t="shared" si="11"/>
        <v>#DIV/0!</v>
      </c>
      <c r="G108" s="39" t="e">
        <f t="shared" si="11"/>
        <v>#DIV/0!</v>
      </c>
      <c r="H108" s="39" t="e">
        <f t="shared" si="11"/>
        <v>#DIV/0!</v>
      </c>
      <c r="I108" s="39" t="e">
        <f t="shared" si="11"/>
        <v>#DIV/0!</v>
      </c>
    </row>
    <row r="109" spans="1:9" x14ac:dyDescent="0.3">
      <c r="B109" s="14"/>
      <c r="C109" s="15"/>
      <c r="D109" s="15"/>
      <c r="E109" s="15"/>
      <c r="F109" s="15"/>
      <c r="G109" s="15"/>
      <c r="H109" s="15"/>
      <c r="I109" s="15"/>
    </row>
    <row r="110" spans="1:9" ht="15.5" x14ac:dyDescent="0.35">
      <c r="A110" s="9" t="s">
        <v>1368</v>
      </c>
    </row>
    <row r="111" spans="1:9" x14ac:dyDescent="0.3">
      <c r="A111" s="18" t="s">
        <v>2007</v>
      </c>
      <c r="B111" s="103" t="s">
        <v>3245</v>
      </c>
    </row>
    <row r="112" spans="1:9" s="36" customFormat="1" ht="42" x14ac:dyDescent="0.35">
      <c r="A112" s="75"/>
      <c r="B112" s="35" t="s">
        <v>2008</v>
      </c>
      <c r="C112" s="35" t="s">
        <v>2009</v>
      </c>
      <c r="D112" s="35" t="s">
        <v>2010</v>
      </c>
      <c r="E112" s="35" t="s">
        <v>2011</v>
      </c>
      <c r="F112" s="35" t="s">
        <v>3259</v>
      </c>
      <c r="G112" s="35" t="s">
        <v>1205</v>
      </c>
    </row>
    <row r="113" spans="1:8" x14ac:dyDescent="0.3">
      <c r="A113" s="24" t="s">
        <v>1207</v>
      </c>
      <c r="B113" s="24">
        <f>COUNTIF('MINGALA_Cleaned Data'!AQA:AQA,"1")</f>
        <v>0</v>
      </c>
      <c r="C113" s="24">
        <f>COUNTIF('MINGALA_Cleaned Data'!AQB:AQB,"1")</f>
        <v>1</v>
      </c>
      <c r="D113" s="24">
        <f>COUNTIF('MINGALA_Cleaned Data'!AQC:AQC,"1")</f>
        <v>0</v>
      </c>
      <c r="E113" s="24">
        <f>COUNTIF('MINGALA_Cleaned Data'!AQD:AQD,"1")</f>
        <v>0</v>
      </c>
      <c r="F113" s="24">
        <f>COUNTIF('MINGALA_Cleaned Data'!AQE:AQE,"1")</f>
        <v>0</v>
      </c>
      <c r="G113" s="24">
        <f>COUNTIF('MINGALA_Cleaned Data'!AQF:AQF,"1")</f>
        <v>0</v>
      </c>
    </row>
    <row r="114" spans="1:8" ht="26" x14ac:dyDescent="0.3">
      <c r="A114" s="121" t="s">
        <v>3319</v>
      </c>
      <c r="B114" s="39">
        <f>(B113/$E$7)</f>
        <v>0</v>
      </c>
      <c r="C114" s="39">
        <f t="shared" ref="C114:G114" si="12">(C113/$E$7)</f>
        <v>1</v>
      </c>
      <c r="D114" s="39">
        <f t="shared" si="12"/>
        <v>0</v>
      </c>
      <c r="E114" s="39">
        <f t="shared" si="12"/>
        <v>0</v>
      </c>
      <c r="F114" s="39">
        <f t="shared" si="12"/>
        <v>0</v>
      </c>
      <c r="G114" s="39">
        <f t="shared" si="12"/>
        <v>0</v>
      </c>
    </row>
    <row r="115" spans="1:8" x14ac:dyDescent="0.3">
      <c r="C115" s="74"/>
    </row>
    <row r="116" spans="1:8" x14ac:dyDescent="0.3">
      <c r="B116" s="74"/>
    </row>
    <row r="117" spans="1:8" x14ac:dyDescent="0.3">
      <c r="B117" s="18" t="s">
        <v>2012</v>
      </c>
    </row>
    <row r="118" spans="1:8" x14ac:dyDescent="0.3">
      <c r="B118" s="21">
        <f>AVERAGE('MINGALA_Cleaned Data'!AQN:AQN)</f>
        <v>250</v>
      </c>
      <c r="C118" s="21" t="s">
        <v>3331</v>
      </c>
      <c r="D118" s="74"/>
    </row>
    <row r="120" spans="1:8" x14ac:dyDescent="0.3">
      <c r="B120" s="18" t="s">
        <v>2016</v>
      </c>
    </row>
    <row r="121" spans="1:8" x14ac:dyDescent="0.3">
      <c r="B121" s="19" t="e">
        <f>AVERAGE('MINGALA_Cleaned Data'!ARD:ARD)</f>
        <v>#DIV/0!</v>
      </c>
      <c r="C121" s="21" t="s">
        <v>1243</v>
      </c>
      <c r="D121" s="74" t="s">
        <v>2843</v>
      </c>
    </row>
    <row r="123" spans="1:8" x14ac:dyDescent="0.3">
      <c r="A123" s="14"/>
      <c r="B123" s="15"/>
      <c r="C123" s="15"/>
    </row>
    <row r="124" spans="1:8" ht="15.5" x14ac:dyDescent="0.35">
      <c r="A124" s="9" t="s">
        <v>1293</v>
      </c>
    </row>
    <row r="125" spans="1:8" x14ac:dyDescent="0.3">
      <c r="A125" s="18" t="s">
        <v>1370</v>
      </c>
      <c r="C125" s="103" t="s">
        <v>3245</v>
      </c>
    </row>
    <row r="126" spans="1:8" s="36" customFormat="1" ht="58.5" customHeight="1" x14ac:dyDescent="0.3">
      <c r="A126" s="24"/>
      <c r="B126" s="35" t="s">
        <v>1369</v>
      </c>
      <c r="C126" s="35" t="s">
        <v>1374</v>
      </c>
      <c r="D126" s="35" t="s">
        <v>1371</v>
      </c>
      <c r="E126" s="35" t="s">
        <v>1372</v>
      </c>
      <c r="F126" s="35" t="s">
        <v>1373</v>
      </c>
      <c r="G126" s="35" t="s">
        <v>3259</v>
      </c>
      <c r="H126" s="35" t="s">
        <v>1220</v>
      </c>
    </row>
    <row r="127" spans="1:8" x14ac:dyDescent="0.3">
      <c r="A127" s="24" t="s">
        <v>1207</v>
      </c>
      <c r="B127" s="24">
        <f>COUNTIF('MINGALA_Cleaned Data'!ARV:ARV,"1")</f>
        <v>1</v>
      </c>
      <c r="C127" s="24">
        <f>COUNTIF('MINGALA_Cleaned Data'!ARW:ARW,"1")</f>
        <v>0</v>
      </c>
      <c r="D127" s="24">
        <f>COUNTIF('MINGALA_Cleaned Data'!ARX:ARX,"1")</f>
        <v>0</v>
      </c>
      <c r="E127" s="24">
        <f>COUNTIF('MINGALA_Cleaned Data'!ARY:ARY,"1")</f>
        <v>0</v>
      </c>
      <c r="F127" s="24">
        <f>COUNTIF('MINGALA_Cleaned Data'!ARZ:ARZ,"1")</f>
        <v>0</v>
      </c>
      <c r="G127" s="24">
        <f>COUNTIF('MINGALA_Cleaned Data'!ASA:ASA,"1")</f>
        <v>0</v>
      </c>
      <c r="H127" s="24">
        <f>COUNTIF('MINGALA_Cleaned Data'!ASB:ASB,"1")</f>
        <v>0</v>
      </c>
    </row>
    <row r="128" spans="1:8" ht="26" x14ac:dyDescent="0.3">
      <c r="A128" s="121" t="s">
        <v>3316</v>
      </c>
      <c r="B128" s="39">
        <f>B127/$B$3</f>
        <v>1</v>
      </c>
      <c r="C128" s="39">
        <f t="shared" ref="C128:H128" si="13">C127/$B$3</f>
        <v>0</v>
      </c>
      <c r="D128" s="39">
        <f t="shared" si="13"/>
        <v>0</v>
      </c>
      <c r="E128" s="39">
        <f t="shared" si="13"/>
        <v>0</v>
      </c>
      <c r="F128" s="39">
        <f t="shared" si="13"/>
        <v>0</v>
      </c>
      <c r="G128" s="39">
        <f t="shared" si="13"/>
        <v>0</v>
      </c>
      <c r="H128" s="39">
        <f t="shared" si="13"/>
        <v>0</v>
      </c>
    </row>
    <row r="129" spans="1:16" x14ac:dyDescent="0.3">
      <c r="A129" s="14"/>
      <c r="H129" s="74"/>
    </row>
    <row r="130" spans="1:16" x14ac:dyDescent="0.3">
      <c r="A130" s="18" t="s">
        <v>1375</v>
      </c>
    </row>
    <row r="131" spans="1:16" x14ac:dyDescent="0.3">
      <c r="A131" s="24"/>
      <c r="B131" s="8" t="s">
        <v>1210</v>
      </c>
      <c r="C131" s="8" t="s">
        <v>1209</v>
      </c>
      <c r="D131" s="127" t="s">
        <v>1206</v>
      </c>
    </row>
    <row r="132" spans="1:16" x14ac:dyDescent="0.3">
      <c r="A132" s="24" t="s">
        <v>1207</v>
      </c>
      <c r="B132" s="24">
        <f>COUNTIF('MINGALA_Cleaned Data'!ASD:ASD,"oui")</f>
        <v>0</v>
      </c>
      <c r="C132" s="24">
        <f>COUNTIF('MINGALA_Cleaned Data'!ASD:ASD,"non")</f>
        <v>1</v>
      </c>
      <c r="D132" s="25">
        <f>SUM(B132:C132)</f>
        <v>1</v>
      </c>
    </row>
    <row r="133" spans="1:16" ht="26" x14ac:dyDescent="0.3">
      <c r="A133" s="121" t="s">
        <v>3319</v>
      </c>
      <c r="B133" s="39">
        <f>(B132/$E$7)</f>
        <v>0</v>
      </c>
      <c r="C133" s="39">
        <f>(C132/$E$7)</f>
        <v>1</v>
      </c>
      <c r="D133" s="128">
        <f>SUM(B133:C133)</f>
        <v>1</v>
      </c>
    </row>
    <row r="135" spans="1:16" x14ac:dyDescent="0.3">
      <c r="A135" s="18" t="s">
        <v>1331</v>
      </c>
      <c r="C135" s="103" t="s">
        <v>3245</v>
      </c>
    </row>
    <row r="136" spans="1:16" x14ac:dyDescent="0.3">
      <c r="A136" s="24"/>
      <c r="B136" s="8" t="s">
        <v>1250</v>
      </c>
      <c r="C136" s="8" t="s">
        <v>1251</v>
      </c>
      <c r="D136" s="8" t="s">
        <v>1905</v>
      </c>
      <c r="E136" s="8" t="s">
        <v>1205</v>
      </c>
      <c r="F136" s="8" t="s">
        <v>1252</v>
      </c>
    </row>
    <row r="137" spans="1:16" x14ac:dyDescent="0.3">
      <c r="A137" s="24" t="s">
        <v>1207</v>
      </c>
      <c r="B137" s="3">
        <f>COUNTIF('MINGALA_Cleaned Data'!ASO:ASO,"1")</f>
        <v>0</v>
      </c>
      <c r="C137" s="3">
        <f>COUNTIF('MINGALA_Cleaned Data'!ASP:ASP,"1")</f>
        <v>1</v>
      </c>
      <c r="D137" s="3">
        <f>COUNTIF('MINGALA_Cleaned Data'!ASQ:ASQ,"1")</f>
        <v>0</v>
      </c>
      <c r="E137" s="3">
        <f>COUNTIF('MINGALA_Cleaned Data'!ASR:ASR,"1")</f>
        <v>0</v>
      </c>
      <c r="F137" s="3">
        <f>COUNTIF('MINGALA_Cleaned Data'!ASS:ASS,"1")</f>
        <v>0</v>
      </c>
    </row>
    <row r="138" spans="1:16" ht="26" x14ac:dyDescent="0.3">
      <c r="A138" s="121" t="s">
        <v>3316</v>
      </c>
      <c r="B138" s="39">
        <f>B137/$B$3</f>
        <v>0</v>
      </c>
      <c r="C138" s="39">
        <f t="shared" ref="C138:F138" si="14">C137/$B$3</f>
        <v>1</v>
      </c>
      <c r="D138" s="39">
        <f t="shared" si="14"/>
        <v>0</v>
      </c>
      <c r="E138" s="39">
        <f t="shared" si="14"/>
        <v>0</v>
      </c>
      <c r="F138" s="39">
        <f t="shared" si="14"/>
        <v>0</v>
      </c>
    </row>
    <row r="139" spans="1:16" x14ac:dyDescent="0.3">
      <c r="A139" s="14"/>
    </row>
    <row r="140" spans="1:16" ht="15.5" x14ac:dyDescent="0.35">
      <c r="A140" s="29" t="s">
        <v>1299</v>
      </c>
      <c r="C140" s="103" t="s">
        <v>3245</v>
      </c>
    </row>
    <row r="141" spans="1:16" s="36" customFormat="1" ht="70" x14ac:dyDescent="0.35">
      <c r="A141" s="35" t="s">
        <v>1475</v>
      </c>
      <c r="B141" s="35" t="s">
        <v>2019</v>
      </c>
      <c r="C141" s="35" t="s">
        <v>1376</v>
      </c>
      <c r="D141" s="35" t="s">
        <v>2023</v>
      </c>
      <c r="E141" s="35" t="s">
        <v>2024</v>
      </c>
      <c r="F141" s="35" t="s">
        <v>2020</v>
      </c>
      <c r="G141" s="35" t="s">
        <v>1377</v>
      </c>
      <c r="H141" s="35" t="s">
        <v>1378</v>
      </c>
      <c r="I141" s="35" t="s">
        <v>1379</v>
      </c>
      <c r="J141" s="35" t="s">
        <v>2021</v>
      </c>
      <c r="K141" s="35" t="s">
        <v>2022</v>
      </c>
      <c r="L141" s="35" t="s">
        <v>1380</v>
      </c>
      <c r="M141" s="35" t="s">
        <v>2025</v>
      </c>
      <c r="N141" s="35" t="s">
        <v>1381</v>
      </c>
      <c r="O141" s="35" t="s">
        <v>1905</v>
      </c>
      <c r="P141" s="35" t="s">
        <v>1205</v>
      </c>
    </row>
    <row r="142" spans="1:16" x14ac:dyDescent="0.3">
      <c r="A142" s="3">
        <f>COUNTIF('MINGALA_Cleaned Data'!ATK:ATK,"1")</f>
        <v>0</v>
      </c>
      <c r="B142" s="3">
        <f>COUNTIF('MINGALA_Cleaned Data'!ATL:ATL,"1")</f>
        <v>1</v>
      </c>
      <c r="C142" s="3">
        <f>COUNTIF('MINGALA_Cleaned Data'!ATM:ATM,"1")</f>
        <v>0</v>
      </c>
      <c r="D142" s="3">
        <f>COUNTIF('MINGALA_Cleaned Data'!ATN:ATN,"1")</f>
        <v>0</v>
      </c>
      <c r="E142" s="3">
        <f>COUNTIF('MINGALA_Cleaned Data'!ATO:ATO,"1")</f>
        <v>0</v>
      </c>
      <c r="F142" s="3">
        <f>COUNTIF('MINGALA_Cleaned Data'!ATX:ATX,"1")</f>
        <v>0</v>
      </c>
      <c r="G142" s="3">
        <f>COUNTIF('MINGALA_Cleaned Data'!ATP:ATP,"1")</f>
        <v>0</v>
      </c>
      <c r="H142" s="3">
        <f>COUNTIF('MINGALA_Cleaned Data'!ATQ:ATQ,"1")</f>
        <v>0</v>
      </c>
      <c r="I142" s="3">
        <f>COUNTIF('MINGALA_Cleaned Data'!ATR:ATR,"1")</f>
        <v>0</v>
      </c>
      <c r="J142" s="3">
        <f>COUNTIF('MINGALA_Cleaned Data'!ATS:ATS,"1")</f>
        <v>0</v>
      </c>
      <c r="K142" s="3">
        <f>COUNTIF('MINGALA_Cleaned Data'!ATU:ATU,"1")</f>
        <v>0</v>
      </c>
      <c r="L142" s="3">
        <f>COUNTIF('MINGALA_Cleaned Data'!ATV:ATV,"1")</f>
        <v>0</v>
      </c>
      <c r="M142" s="3">
        <f>COUNTIF('MINGALA_Cleaned Data'!ATW:ATW,"1")</f>
        <v>0</v>
      </c>
      <c r="N142" s="3">
        <f>COUNTIF('MINGALA_Cleaned Data'!ATY:ATY,"1")</f>
        <v>0</v>
      </c>
      <c r="O142" s="3">
        <f>COUNTIF('MINGALA_Cleaned Data'!ATZ:ATZ,"1")</f>
        <v>0</v>
      </c>
      <c r="P142" s="3">
        <f>COUNTIF('MINGALA_Cleaned Data'!AUA:AUA,"1")</f>
        <v>0</v>
      </c>
    </row>
    <row r="143" spans="1:16" x14ac:dyDescent="0.3">
      <c r="A143" s="14"/>
      <c r="B143" s="14"/>
      <c r="C143" s="14"/>
      <c r="D143" s="14"/>
      <c r="E143" s="14"/>
      <c r="F143" s="14"/>
      <c r="G143" s="14"/>
      <c r="H143" s="14"/>
      <c r="I143" s="14"/>
      <c r="J143" s="14"/>
      <c r="K143" s="14"/>
      <c r="L143" s="14"/>
      <c r="M143" s="14"/>
      <c r="N143" s="14"/>
      <c r="O143" s="14"/>
      <c r="P143" s="76"/>
    </row>
    <row r="144" spans="1:16" ht="15.5" x14ac:dyDescent="0.35">
      <c r="A144" s="29" t="s">
        <v>1300</v>
      </c>
      <c r="C144" s="103" t="s">
        <v>3245</v>
      </c>
    </row>
    <row r="145" spans="1:13" ht="28" x14ac:dyDescent="0.3">
      <c r="A145" s="8" t="s">
        <v>1236</v>
      </c>
      <c r="B145" s="8" t="s">
        <v>1256</v>
      </c>
      <c r="C145" s="8" t="s">
        <v>1257</v>
      </c>
      <c r="D145" s="8" t="s">
        <v>1239</v>
      </c>
      <c r="E145" s="8" t="s">
        <v>1240</v>
      </c>
      <c r="F145" s="8" t="s">
        <v>1258</v>
      </c>
      <c r="G145" s="8" t="s">
        <v>1259</v>
      </c>
      <c r="H145" s="8" t="s">
        <v>1260</v>
      </c>
      <c r="I145" s="8" t="s">
        <v>1261</v>
      </c>
      <c r="J145" s="8" t="s">
        <v>1252</v>
      </c>
      <c r="K145" s="8" t="s">
        <v>3259</v>
      </c>
      <c r="L145" s="8" t="s">
        <v>1220</v>
      </c>
    </row>
    <row r="146" spans="1:13" x14ac:dyDescent="0.3">
      <c r="A146" s="24">
        <f>COUNTIF('MINGALA_Cleaned Data'!ASV:ASV,"1")</f>
        <v>0</v>
      </c>
      <c r="B146" s="24">
        <f>COUNTIF('MINGALA_Cleaned Data'!ASW:ASW,"1")</f>
        <v>0</v>
      </c>
      <c r="C146" s="24">
        <f>COUNTIF('MINGALA_Cleaned Data'!ASX:ASX,"1")</f>
        <v>0</v>
      </c>
      <c r="D146" s="24">
        <f>COUNTIF('MINGALA_Cleaned Data'!ASY:ASY,"1")</f>
        <v>0</v>
      </c>
      <c r="E146" s="24">
        <f>COUNTIF('MINGALA_Cleaned Data'!ASZ:ASZ,"1")</f>
        <v>0</v>
      </c>
      <c r="F146" s="24">
        <f>COUNTIF('MINGALA_Cleaned Data'!ATA:ATA,"1")</f>
        <v>0</v>
      </c>
      <c r="G146" s="24">
        <f>COUNTIF('MINGALA_Cleaned Data'!ATB:ATB,"1")</f>
        <v>0</v>
      </c>
      <c r="H146" s="24">
        <f>COUNTIF('MINGALA_Cleaned Data'!ATC:ATC,"1")</f>
        <v>0</v>
      </c>
      <c r="I146" s="24">
        <f>COUNTIF('MINGALA_Cleaned Data'!ATD:ATD,"1")</f>
        <v>0</v>
      </c>
      <c r="J146" s="24">
        <f>COUNTIF('MINGALA_Cleaned Data'!ATE:ATE,"1")</f>
        <v>1</v>
      </c>
      <c r="K146" s="24">
        <f>COUNTIF('MINGALA_Cleaned Data'!ATF:ATF,"1")</f>
        <v>0</v>
      </c>
      <c r="L146" s="24">
        <f>COUNTIF('MINGALA_Cleaned Data'!ATG:ATG,"1")</f>
        <v>0</v>
      </c>
    </row>
    <row r="148" spans="1:13" ht="15.5" x14ac:dyDescent="0.35">
      <c r="A148" s="29" t="s">
        <v>1334</v>
      </c>
    </row>
    <row r="149" spans="1:13" x14ac:dyDescent="0.3">
      <c r="A149" s="3"/>
      <c r="B149" s="8" t="s">
        <v>1210</v>
      </c>
      <c r="C149" s="8" t="s">
        <v>1209</v>
      </c>
      <c r="D149" s="127" t="s">
        <v>1206</v>
      </c>
    </row>
    <row r="150" spans="1:13" x14ac:dyDescent="0.3">
      <c r="A150" s="3" t="s">
        <v>1207</v>
      </c>
      <c r="B150" s="24">
        <f>COUNTIF('MINGALA_Cleaned Data'!AUC:AUC,"OUI")</f>
        <v>0</v>
      </c>
      <c r="C150" s="24">
        <f>COUNTIF('MINGALA_Cleaned Data'!AUC:AUC,"non")</f>
        <v>1</v>
      </c>
      <c r="D150" s="25">
        <f>SUM(B150:C150)</f>
        <v>1</v>
      </c>
    </row>
    <row r="151" spans="1:13" ht="26" x14ac:dyDescent="0.3">
      <c r="A151" s="121" t="s">
        <v>3316</v>
      </c>
      <c r="B151" s="7">
        <f>(B150/$B$3)</f>
        <v>0</v>
      </c>
      <c r="C151" s="7">
        <f>(C150/$B$3)</f>
        <v>1</v>
      </c>
      <c r="D151" s="128">
        <f>SUM(B151:C151)</f>
        <v>1</v>
      </c>
    </row>
    <row r="152" spans="1:13" x14ac:dyDescent="0.3">
      <c r="A152" s="130"/>
      <c r="B152" s="15"/>
      <c r="C152" s="15"/>
      <c r="D152" s="129"/>
    </row>
    <row r="153" spans="1:13" ht="15.5" x14ac:dyDescent="0.35">
      <c r="A153" s="9" t="s">
        <v>1301</v>
      </c>
      <c r="C153" s="103" t="s">
        <v>3245</v>
      </c>
    </row>
    <row r="154" spans="1:13" ht="56" x14ac:dyDescent="0.35">
      <c r="A154" s="8" t="s">
        <v>2029</v>
      </c>
      <c r="B154" s="8" t="s">
        <v>2028</v>
      </c>
      <c r="C154" s="8" t="s">
        <v>2030</v>
      </c>
      <c r="D154" s="8" t="s">
        <v>1382</v>
      </c>
      <c r="E154" s="8" t="s">
        <v>1383</v>
      </c>
      <c r="F154" s="8" t="s">
        <v>1384</v>
      </c>
      <c r="G154" s="8" t="s">
        <v>1385</v>
      </c>
      <c r="H154" s="8" t="s">
        <v>1905</v>
      </c>
      <c r="I154" s="8" t="s">
        <v>1205</v>
      </c>
      <c r="K154" s="23"/>
      <c r="L154" s="23"/>
      <c r="M154" s="23"/>
    </row>
    <row r="155" spans="1:13" ht="14.5" x14ac:dyDescent="0.35">
      <c r="A155" s="24">
        <f>COUNTIF('MINGALA_Cleaned Data'!AVH:AVH,"1")</f>
        <v>0</v>
      </c>
      <c r="B155" s="24">
        <f>COUNTIF('MINGALA_Cleaned Data'!AVI:AVI,"1")</f>
        <v>0</v>
      </c>
      <c r="C155" s="24">
        <f>COUNTIF('MINGALA_Cleaned Data'!AVJ:AVJ,"1")</f>
        <v>0</v>
      </c>
      <c r="D155" s="24">
        <f>COUNTIF('MINGALA_Cleaned Data'!AVK:AVK,"1")</f>
        <v>1</v>
      </c>
      <c r="E155" s="24">
        <f>COUNTIF('MINGALA_Cleaned Data'!AVL:AVL,"1")</f>
        <v>1</v>
      </c>
      <c r="F155" s="24">
        <f>COUNTIF('MINGALA_Cleaned Data'!AVM:AVM,"1")</f>
        <v>0</v>
      </c>
      <c r="G155" s="24">
        <f>COUNTIF('MINGALA_Cleaned Data'!AVN:AVN,"1")</f>
        <v>0</v>
      </c>
      <c r="H155" s="24">
        <f>COUNTIF('MINGALA_Cleaned Data'!AVO:AVO,"1")</f>
        <v>0</v>
      </c>
      <c r="I155" s="24">
        <f>COUNTIF('MINGALA_Cleaned Data'!AVP:AVP,"1")</f>
        <v>0</v>
      </c>
      <c r="J155"/>
      <c r="K155" s="23"/>
      <c r="L155" s="23"/>
      <c r="M155" s="23"/>
    </row>
    <row r="156" spans="1:13" x14ac:dyDescent="0.3">
      <c r="I156" s="74"/>
    </row>
  </sheetData>
  <conditionalFormatting sqref="C35:F35">
    <cfRule type="colorScale" priority="33">
      <colorScale>
        <cfvo type="min"/>
        <cfvo type="max"/>
        <color theme="6" tint="0.79998168889431442"/>
        <color theme="5" tint="0.39997558519241921"/>
      </colorScale>
    </cfRule>
  </conditionalFormatting>
  <conditionalFormatting sqref="C40:M40">
    <cfRule type="colorScale" priority="32">
      <colorScale>
        <cfvo type="min"/>
        <cfvo type="max"/>
        <color theme="6" tint="0.79998168889431442"/>
        <color theme="5" tint="0.39997558519241921"/>
      </colorScale>
    </cfRule>
  </conditionalFormatting>
  <conditionalFormatting sqref="B61:J61">
    <cfRule type="colorScale" priority="31">
      <colorScale>
        <cfvo type="min"/>
        <cfvo type="max"/>
        <color theme="6" tint="0.79998168889431442"/>
        <color theme="5" tint="0.39997558519241921"/>
      </colorScale>
    </cfRule>
  </conditionalFormatting>
  <conditionalFormatting sqref="B68:E68 C66:H66">
    <cfRule type="colorScale" priority="30">
      <colorScale>
        <cfvo type="min"/>
        <cfvo type="max"/>
        <color theme="6" tint="0.79998168889431442"/>
        <color theme="5" tint="0.39997558519241921"/>
      </colorScale>
    </cfRule>
  </conditionalFormatting>
  <conditionalFormatting sqref="B68:G68 C66:H66">
    <cfRule type="colorScale" priority="29">
      <colorScale>
        <cfvo type="min"/>
        <cfvo type="max"/>
        <color theme="6" tint="0.79998168889431442"/>
        <color theme="5" tint="0.39997558519241921"/>
      </colorScale>
    </cfRule>
  </conditionalFormatting>
  <conditionalFormatting sqref="B76:I76">
    <cfRule type="colorScale" priority="28">
      <colorScale>
        <cfvo type="min"/>
        <cfvo type="max"/>
        <color theme="6" tint="0.79998168889431442"/>
        <color theme="5" tint="0.39997558519241921"/>
      </colorScale>
    </cfRule>
  </conditionalFormatting>
  <conditionalFormatting sqref="C81:F81">
    <cfRule type="colorScale" priority="27">
      <colorScale>
        <cfvo type="min"/>
        <cfvo type="max"/>
        <color theme="6" tint="0.79998168889431442"/>
        <color theme="5" tint="0.39997558519241921"/>
      </colorScale>
    </cfRule>
  </conditionalFormatting>
  <conditionalFormatting sqref="C81:H81">
    <cfRule type="colorScale" priority="26">
      <colorScale>
        <cfvo type="min"/>
        <cfvo type="max"/>
        <color theme="6" tint="0.79998168889431442"/>
        <color theme="5" tint="0.39997558519241921"/>
      </colorScale>
    </cfRule>
  </conditionalFormatting>
  <conditionalFormatting sqref="C97:F97">
    <cfRule type="colorScale" priority="25">
      <colorScale>
        <cfvo type="min"/>
        <cfvo type="max"/>
        <color theme="6" tint="0.79998168889431442"/>
        <color theme="5" tint="0.39997558519241921"/>
      </colorScale>
    </cfRule>
  </conditionalFormatting>
  <conditionalFormatting sqref="C102:I102">
    <cfRule type="colorScale" priority="24">
      <colorScale>
        <cfvo type="min"/>
        <cfvo type="max"/>
        <color theme="6" tint="0.79998168889431442"/>
        <color theme="5" tint="0.39997558519241921"/>
      </colorScale>
    </cfRule>
  </conditionalFormatting>
  <conditionalFormatting sqref="B55:L55">
    <cfRule type="colorScale" priority="23">
      <colorScale>
        <cfvo type="min"/>
        <cfvo type="max"/>
        <color theme="6" tint="0.79998168889431442"/>
        <color theme="5" tint="0.39997558519241921"/>
      </colorScale>
    </cfRule>
  </conditionalFormatting>
  <conditionalFormatting sqref="B127:H127">
    <cfRule type="colorScale" priority="22">
      <colorScale>
        <cfvo type="min"/>
        <cfvo type="max"/>
        <color theme="6" tint="0.79998168889431442"/>
        <color theme="5" tint="0.39997558519241921"/>
      </colorScale>
    </cfRule>
  </conditionalFormatting>
  <conditionalFormatting sqref="B137:F137">
    <cfRule type="colorScale" priority="21">
      <colorScale>
        <cfvo type="min"/>
        <cfvo type="max"/>
        <color theme="6" tint="0.79998168889431442"/>
        <color theme="5" tint="0.39997558519241921"/>
      </colorScale>
    </cfRule>
  </conditionalFormatting>
  <conditionalFormatting sqref="A146:L146">
    <cfRule type="colorScale" priority="20">
      <colorScale>
        <cfvo type="min"/>
        <cfvo type="max"/>
        <color theme="6" tint="0.79998168889431442"/>
        <color theme="5" tint="0.39997558519241921"/>
      </colorScale>
    </cfRule>
  </conditionalFormatting>
  <conditionalFormatting sqref="A142:P143">
    <cfRule type="colorScale" priority="19">
      <colorScale>
        <cfvo type="min"/>
        <cfvo type="max"/>
        <color theme="6" tint="0.79998168889431442"/>
        <color theme="5" tint="0.39997558519241921"/>
      </colorScale>
    </cfRule>
  </conditionalFormatting>
  <conditionalFormatting sqref="A155:I155">
    <cfRule type="colorScale" priority="18">
      <colorScale>
        <cfvo type="min"/>
        <cfvo type="max"/>
        <color theme="6" tint="0.79998168889431442"/>
        <color theme="5" tint="0.39997558519241921"/>
      </colorScale>
    </cfRule>
  </conditionalFormatting>
  <conditionalFormatting sqref="B7:D7">
    <cfRule type="colorScale" priority="17">
      <colorScale>
        <cfvo type="min"/>
        <cfvo type="max"/>
        <color theme="6" tint="0.79998168889431442"/>
        <color theme="5" tint="0.39997558519241921"/>
      </colorScale>
    </cfRule>
  </conditionalFormatting>
  <conditionalFormatting sqref="B12:C12">
    <cfRule type="colorScale" priority="16">
      <colorScale>
        <cfvo type="min"/>
        <cfvo type="max"/>
        <color theme="6" tint="0.79998168889431442"/>
        <color theme="5" tint="0.39997558519241921"/>
      </colorScale>
    </cfRule>
  </conditionalFormatting>
  <conditionalFormatting sqref="C17:D17">
    <cfRule type="colorScale" priority="15">
      <colorScale>
        <cfvo type="min"/>
        <cfvo type="max"/>
        <color theme="6" tint="0.79998168889431442"/>
        <color theme="5" tint="0.39997558519241921"/>
      </colorScale>
    </cfRule>
  </conditionalFormatting>
  <conditionalFormatting sqref="B22:I22">
    <cfRule type="colorScale" priority="14">
      <colorScale>
        <cfvo type="min"/>
        <cfvo type="max"/>
        <color theme="6" tint="0.79998168889431442"/>
        <color theme="5" tint="0.39997558519241921"/>
      </colorScale>
    </cfRule>
  </conditionalFormatting>
  <conditionalFormatting sqref="B30:C30">
    <cfRule type="colorScale" priority="13">
      <colorScale>
        <cfvo type="min"/>
        <cfvo type="max"/>
        <color theme="6" tint="0.79998168889431442"/>
        <color theme="5" tint="0.39997558519241921"/>
      </colorScale>
    </cfRule>
  </conditionalFormatting>
  <conditionalFormatting sqref="B50:C50">
    <cfRule type="colorScale" priority="12">
      <colorScale>
        <cfvo type="min"/>
        <cfvo type="max"/>
        <color theme="6" tint="0.79998168889431442"/>
        <color theme="5" tint="0.39997558519241921"/>
      </colorScale>
    </cfRule>
  </conditionalFormatting>
  <conditionalFormatting sqref="C71:F71">
    <cfRule type="colorScale" priority="11">
      <colorScale>
        <cfvo type="min"/>
        <cfvo type="max"/>
        <color theme="6" tint="0.79998168889431442"/>
        <color theme="5" tint="0.39997558519241921"/>
      </colorScale>
    </cfRule>
  </conditionalFormatting>
  <conditionalFormatting sqref="C71:G71">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C86:G86">
    <cfRule type="colorScale" priority="8">
      <colorScale>
        <cfvo type="min"/>
        <cfvo type="max"/>
        <color theme="6" tint="0.79998168889431442"/>
        <color theme="5" tint="0.39997558519241921"/>
      </colorScale>
    </cfRule>
  </conditionalFormatting>
  <conditionalFormatting sqref="B92:C92">
    <cfRule type="colorScale" priority="7">
      <colorScale>
        <cfvo type="min"/>
        <cfvo type="max"/>
        <color theme="6" tint="0.79998168889431442"/>
        <color theme="5" tint="0.39997558519241921"/>
      </colorScale>
    </cfRule>
  </conditionalFormatting>
  <conditionalFormatting sqref="B92:C92">
    <cfRule type="colorScale" priority="6">
      <colorScale>
        <cfvo type="min"/>
        <cfvo type="max"/>
        <color theme="6" tint="0.79998168889431442"/>
        <color theme="5" tint="0.39997558519241921"/>
      </colorScale>
    </cfRule>
  </conditionalFormatting>
  <conditionalFormatting sqref="B113:G113">
    <cfRule type="colorScale" priority="5">
      <colorScale>
        <cfvo type="min"/>
        <cfvo type="max"/>
        <color theme="6" tint="0.79998168889431442"/>
        <color theme="5" tint="0.39997558519241921"/>
      </colorScale>
    </cfRule>
  </conditionalFormatting>
  <conditionalFormatting sqref="B132:C132">
    <cfRule type="colorScale" priority="4">
      <colorScale>
        <cfvo type="min"/>
        <cfvo type="max"/>
        <color theme="6" tint="0.79998168889431442"/>
        <color theme="5" tint="0.39997558519241921"/>
      </colorScale>
    </cfRule>
  </conditionalFormatting>
  <conditionalFormatting sqref="B150:C150">
    <cfRule type="colorScale" priority="3">
      <colorScale>
        <cfvo type="min"/>
        <cfvo type="max"/>
        <color theme="6" tint="0.79998168889431442"/>
        <color theme="5" tint="0.39997558519241921"/>
      </colorScale>
    </cfRule>
  </conditionalFormatting>
  <conditionalFormatting sqref="C45:K45">
    <cfRule type="colorScale" priority="2">
      <colorScale>
        <cfvo type="min"/>
        <cfvo type="max"/>
        <color theme="6" tint="0.79998168889431442"/>
        <color theme="5" tint="0.39997558519241921"/>
      </colorScale>
    </cfRule>
  </conditionalFormatting>
  <conditionalFormatting sqref="C107:I10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VW39"/>
  <sheetViews>
    <sheetView zoomScaleNormal="100" workbookViewId="0">
      <pane xSplit="1" ySplit="1" topLeftCell="L2" activePane="bottomRight" state="frozen"/>
      <selection pane="topRight" activeCell="B1" sqref="B1"/>
      <selection pane="bottomLeft" activeCell="A2" sqref="A2"/>
      <selection pane="bottomRight" activeCell="L6" sqref="L6"/>
    </sheetView>
  </sheetViews>
  <sheetFormatPr defaultColWidth="8.81640625" defaultRowHeight="14" x14ac:dyDescent="0.3"/>
  <cols>
    <col min="1" max="1" width="51.54296875" style="1" customWidth="1"/>
    <col min="2" max="4" width="8.81640625" style="1"/>
    <col min="5" max="5" width="8.453125" style="1" customWidth="1"/>
    <col min="6" max="7" width="8.81640625" style="1"/>
    <col min="8" max="8" width="8.90625" style="1" bestFit="1" customWidth="1"/>
    <col min="9" max="11" width="8.81640625" style="1"/>
    <col min="12" max="12" width="15" style="1" customWidth="1"/>
    <col min="13" max="13" width="19.1796875" style="1" customWidth="1"/>
    <col min="14" max="14" width="9" style="1" customWidth="1"/>
    <col min="15" max="19" width="8.90625" style="1" bestFit="1" customWidth="1"/>
    <col min="20" max="20" width="22.1796875" style="1" customWidth="1"/>
    <col min="21" max="21" width="15.81640625" style="1" customWidth="1"/>
    <col min="22" max="30" width="8.81640625" style="1"/>
    <col min="31" max="36" width="8.81640625" style="57"/>
    <col min="37" max="39" width="8.81640625" style="1"/>
    <col min="40" max="40" width="13" style="1" customWidth="1"/>
    <col min="41" max="402" width="8.81640625" style="1"/>
    <col min="403" max="403" width="28" style="1" customWidth="1"/>
    <col min="404" max="428" width="8.81640625" style="1"/>
    <col min="429" max="429" width="8.90625" style="1" bestFit="1" customWidth="1"/>
    <col min="430" max="442" width="8.81640625" style="1"/>
    <col min="443" max="450" width="8.90625" style="1" bestFit="1" customWidth="1"/>
    <col min="451" max="451" width="8.90625" style="57" bestFit="1" customWidth="1"/>
    <col min="452" max="456" width="8.90625" style="1" bestFit="1" customWidth="1"/>
    <col min="457" max="459" width="8.81640625" style="1"/>
    <col min="460" max="465" width="8.90625" style="1" bestFit="1" customWidth="1"/>
    <col min="466" max="474" width="8.81640625" style="1"/>
    <col min="475" max="475" width="8.90625" style="1" bestFit="1" customWidth="1"/>
    <col min="476" max="478" width="8.81640625" style="1"/>
    <col min="479" max="488" width="8.90625" style="1" bestFit="1" customWidth="1"/>
    <col min="489" max="499" width="8.81640625" style="1"/>
    <col min="500" max="507" width="8.90625" style="1" bestFit="1" customWidth="1"/>
    <col min="508" max="508" width="8.81640625" style="1"/>
    <col min="509" max="520" width="8.90625" style="1" bestFit="1" customWidth="1"/>
    <col min="521" max="552" width="8.81640625" style="1"/>
    <col min="553" max="557" width="8.90625" style="1" bestFit="1" customWidth="1"/>
    <col min="558" max="562" width="8.81640625" style="1"/>
    <col min="563" max="578" width="8.90625" style="1" bestFit="1" customWidth="1"/>
    <col min="579" max="580" width="8.81640625" style="1"/>
    <col min="581" max="593" width="8.90625" style="1" bestFit="1" customWidth="1"/>
    <col min="594" max="596" width="8.81640625" style="1"/>
    <col min="597" max="603" width="8.90625" style="1" bestFit="1" customWidth="1"/>
    <col min="604" max="605" width="8.81640625" style="1"/>
    <col min="606" max="618" width="8.90625" style="1" bestFit="1" customWidth="1"/>
    <col min="619" max="621" width="8.81640625" style="1"/>
    <col min="622" max="626" width="8.90625" style="1" bestFit="1" customWidth="1"/>
    <col min="627" max="628" width="8.81640625" style="1"/>
    <col min="629" max="641" width="8.90625" style="1" bestFit="1" customWidth="1"/>
    <col min="642" max="645" width="8.81640625" style="1"/>
    <col min="646" max="653" width="8.90625" style="1" bestFit="1" customWidth="1"/>
    <col min="654" max="659" width="8.81640625" style="1"/>
    <col min="660" max="667" width="8.90625" style="1" bestFit="1" customWidth="1"/>
    <col min="668" max="677" width="8.81640625" style="1"/>
    <col min="678" max="679" width="8.90625" style="1" bestFit="1" customWidth="1"/>
    <col min="680" max="683" width="8.81640625" style="1"/>
    <col min="684" max="684" width="8.90625" style="1" bestFit="1" customWidth="1"/>
    <col min="685" max="691" width="8.81640625" style="1"/>
    <col min="692" max="692" width="8.90625" style="1" bestFit="1" customWidth="1"/>
    <col min="693" max="694" width="8.81640625" style="1"/>
    <col min="695" max="695" width="20.81640625" style="1" customWidth="1"/>
    <col min="696" max="746" width="8.81640625" style="1"/>
    <col min="747" max="747" width="8.81640625" style="57"/>
    <col min="748" max="790" width="8.81640625" style="1"/>
    <col min="791" max="791" width="8.81640625" style="57"/>
    <col min="792" max="915" width="8.81640625" style="1"/>
    <col min="916" max="916" width="8.81640625" style="57"/>
    <col min="917" max="928" width="8.81640625" style="1"/>
    <col min="929" max="929" width="8.81640625" style="57"/>
    <col min="930" max="981" width="8.81640625" style="1"/>
    <col min="982" max="982" width="22.08984375" style="1" customWidth="1"/>
    <col min="983" max="1055" width="8.81640625" style="1"/>
    <col min="1056" max="1056" width="8.81640625" style="57"/>
    <col min="1057" max="1147" width="8.81640625" style="1"/>
    <col min="1148" max="1148" width="14" style="2" bestFit="1" customWidth="1"/>
    <col min="1149" max="1154" width="8.81640625" style="1"/>
    <col min="1155" max="1155" width="8.81640625" style="57"/>
    <col min="1156" max="1187" width="8.81640625" style="1"/>
    <col min="1188" max="1189" width="8.90625" style="1" bestFit="1" customWidth="1"/>
    <col min="1190" max="1191" width="8.81640625" style="1"/>
    <col min="1192" max="1204" width="8.90625" style="1" bestFit="1" customWidth="1"/>
    <col min="1205" max="1206" width="8.81640625" style="1"/>
    <col min="1207" max="1223" width="8.90625" style="1" bestFit="1" customWidth="1"/>
    <col min="1224" max="1255" width="8.81640625" style="1"/>
    <col min="1256" max="1264" width="8.90625" style="1" bestFit="1" customWidth="1"/>
    <col min="1265" max="1265" width="8.81640625" style="1"/>
    <col min="1266" max="1266" width="8.81640625" style="57"/>
    <col min="1267" max="1267" width="8.81640625" style="1"/>
    <col min="1268" max="1268" width="10" style="1" bestFit="1" customWidth="1"/>
    <col min="1269" max="1270" width="8.81640625" style="1"/>
    <col min="1271" max="1271" width="8.90625" style="1" bestFit="1" customWidth="1"/>
    <col min="1272" max="16384" width="8.81640625" style="1"/>
  </cols>
  <sheetData>
    <row r="1" spans="1:1271"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X1" s="1" t="s">
        <v>192</v>
      </c>
      <c r="GY1" s="1" t="s">
        <v>1549</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1"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x14ac:dyDescent="0.3">
      <c r="A2" s="57" t="s">
        <v>1829</v>
      </c>
      <c r="B2" s="1" t="s">
        <v>1830</v>
      </c>
      <c r="C2" s="1" t="s">
        <v>1831</v>
      </c>
      <c r="D2" s="1" t="s">
        <v>1689</v>
      </c>
      <c r="E2" s="1" t="s">
        <v>1832</v>
      </c>
      <c r="F2" s="1" t="s">
        <v>1689</v>
      </c>
      <c r="H2" s="2"/>
      <c r="I2" s="1" t="s">
        <v>1659</v>
      </c>
      <c r="J2" s="1" t="s">
        <v>1660</v>
      </c>
      <c r="K2" s="1" t="s">
        <v>1660</v>
      </c>
      <c r="N2" s="1" t="s">
        <v>1153</v>
      </c>
      <c r="O2" s="2">
        <v>1</v>
      </c>
      <c r="P2" s="2">
        <v>0</v>
      </c>
      <c r="Q2" s="2">
        <v>0</v>
      </c>
      <c r="R2" s="2">
        <v>0</v>
      </c>
      <c r="S2" s="2">
        <v>0</v>
      </c>
      <c r="U2" s="1" t="s">
        <v>1183</v>
      </c>
      <c r="W2" s="1" t="s">
        <v>1155</v>
      </c>
      <c r="X2" s="1" t="s">
        <v>1156</v>
      </c>
      <c r="AN2" s="1" t="s">
        <v>1195</v>
      </c>
      <c r="AO2" s="58" t="s">
        <v>1162</v>
      </c>
      <c r="AP2" s="57" t="s">
        <v>1162</v>
      </c>
      <c r="AQ2" s="57"/>
      <c r="AR2" s="1" t="s">
        <v>1801</v>
      </c>
      <c r="AS2" s="1" t="s">
        <v>1833</v>
      </c>
      <c r="AT2" s="1" t="s">
        <v>1156</v>
      </c>
      <c r="AU2" s="1" t="s">
        <v>1166</v>
      </c>
      <c r="BF2" s="1" t="s">
        <v>1517</v>
      </c>
      <c r="BG2" s="2">
        <v>1</v>
      </c>
      <c r="BH2" s="2">
        <v>0</v>
      </c>
      <c r="BI2" s="2">
        <v>0</v>
      </c>
      <c r="BJ2" s="2">
        <v>0</v>
      </c>
      <c r="BK2" s="2">
        <v>0</v>
      </c>
      <c r="BL2" s="2">
        <v>0</v>
      </c>
      <c r="BM2" s="2">
        <v>0</v>
      </c>
      <c r="BO2" s="1" t="s">
        <v>1188</v>
      </c>
      <c r="BP2" s="2">
        <v>1</v>
      </c>
      <c r="BQ2" s="2">
        <v>0</v>
      </c>
      <c r="BR2" s="2">
        <v>0</v>
      </c>
      <c r="BS2" s="2">
        <v>0</v>
      </c>
      <c r="BT2" s="2">
        <v>0</v>
      </c>
      <c r="BU2" s="2">
        <v>0</v>
      </c>
      <c r="BV2" s="2">
        <v>0</v>
      </c>
      <c r="BW2" s="2">
        <v>0</v>
      </c>
      <c r="BX2" s="2">
        <v>0</v>
      </c>
      <c r="BY2" s="2">
        <v>0</v>
      </c>
      <c r="BZ2" s="2">
        <v>0</v>
      </c>
      <c r="CA2" s="2">
        <v>0</v>
      </c>
      <c r="CC2" s="1" t="s">
        <v>1156</v>
      </c>
      <c r="CD2" s="1" t="s">
        <v>1880</v>
      </c>
      <c r="CE2" s="57"/>
      <c r="CF2" s="58"/>
      <c r="CG2" s="1" t="s">
        <v>1162</v>
      </c>
      <c r="CY2" s="1" t="s">
        <v>1163</v>
      </c>
      <c r="CZ2" s="2">
        <v>0</v>
      </c>
      <c r="DA2" s="2">
        <v>1</v>
      </c>
      <c r="DB2" s="2">
        <v>0</v>
      </c>
      <c r="DC2" s="2">
        <v>0</v>
      </c>
      <c r="DD2" s="2">
        <v>0</v>
      </c>
      <c r="DE2" s="2">
        <v>0</v>
      </c>
      <c r="DF2" s="2">
        <v>0</v>
      </c>
      <c r="DG2" s="2">
        <v>0</v>
      </c>
      <c r="DI2" s="1" t="s">
        <v>1162</v>
      </c>
      <c r="DQ2" s="1" t="s">
        <v>1397</v>
      </c>
      <c r="DR2" s="2">
        <v>1</v>
      </c>
      <c r="DS2" s="2">
        <v>0</v>
      </c>
      <c r="DT2" s="2">
        <v>0</v>
      </c>
      <c r="DU2" s="2">
        <v>0</v>
      </c>
      <c r="DV2" s="2">
        <v>0</v>
      </c>
      <c r="DX2" s="1" t="s">
        <v>1393</v>
      </c>
      <c r="DY2" s="2">
        <v>1</v>
      </c>
      <c r="DZ2" s="2">
        <v>0</v>
      </c>
      <c r="EA2" s="2">
        <v>0</v>
      </c>
      <c r="EB2" s="2">
        <v>0</v>
      </c>
      <c r="EC2" s="2">
        <v>0</v>
      </c>
      <c r="ED2" s="2">
        <v>0</v>
      </c>
      <c r="EE2" s="2">
        <v>0</v>
      </c>
      <c r="EF2" s="2">
        <v>0</v>
      </c>
      <c r="EG2" s="2">
        <v>0</v>
      </c>
      <c r="EH2" s="2">
        <v>0</v>
      </c>
      <c r="EI2" s="2">
        <v>0</v>
      </c>
      <c r="EJ2" s="2">
        <v>0</v>
      </c>
      <c r="EK2" s="2">
        <v>0</v>
      </c>
      <c r="EM2" s="1" t="s">
        <v>1188</v>
      </c>
      <c r="EN2" s="2">
        <v>0</v>
      </c>
      <c r="EO2" s="2">
        <v>1</v>
      </c>
      <c r="EP2" s="2">
        <v>0</v>
      </c>
      <c r="EQ2" s="2">
        <v>0</v>
      </c>
      <c r="ER2" s="2">
        <v>0</v>
      </c>
      <c r="ES2" s="2">
        <v>0</v>
      </c>
      <c r="ET2" s="2">
        <v>0</v>
      </c>
      <c r="EU2" s="2">
        <v>0</v>
      </c>
      <c r="EV2" s="2">
        <v>0</v>
      </c>
      <c r="EW2" s="2">
        <v>0</v>
      </c>
      <c r="EX2" s="2">
        <v>0</v>
      </c>
      <c r="EY2" s="2">
        <v>0</v>
      </c>
      <c r="EZ2" s="2">
        <v>0</v>
      </c>
      <c r="FB2" s="1" t="s">
        <v>1156</v>
      </c>
      <c r="FC2" s="1" t="s">
        <v>1834</v>
      </c>
      <c r="FD2" s="2">
        <v>0</v>
      </c>
      <c r="FE2" s="2">
        <v>1</v>
      </c>
      <c r="FF2" s="2">
        <v>0</v>
      </c>
      <c r="FG2" s="2">
        <v>0</v>
      </c>
      <c r="FH2" s="2">
        <v>0</v>
      </c>
      <c r="FI2" s="2">
        <v>0</v>
      </c>
      <c r="FJ2" s="2">
        <v>0</v>
      </c>
      <c r="FL2" s="1" t="s">
        <v>1197</v>
      </c>
      <c r="FM2" s="2">
        <v>0</v>
      </c>
      <c r="FN2" s="2">
        <v>1</v>
      </c>
      <c r="FO2" s="2">
        <v>0</v>
      </c>
      <c r="FP2" s="2">
        <v>0</v>
      </c>
      <c r="FQ2" s="2">
        <v>0</v>
      </c>
      <c r="FR2" s="2">
        <v>0</v>
      </c>
      <c r="FS2" s="2">
        <v>0</v>
      </c>
      <c r="FT2" s="2">
        <v>0</v>
      </c>
      <c r="FU2" s="2">
        <v>0</v>
      </c>
      <c r="FV2" s="2">
        <v>0</v>
      </c>
      <c r="FW2" s="2">
        <v>0</v>
      </c>
      <c r="FX2" s="2">
        <v>0</v>
      </c>
      <c r="FY2" s="2">
        <v>0</v>
      </c>
      <c r="GA2" s="1" t="s">
        <v>1155</v>
      </c>
      <c r="GB2" s="1" t="s">
        <v>1835</v>
      </c>
      <c r="GC2" s="2">
        <v>0</v>
      </c>
      <c r="GD2" s="2">
        <v>0</v>
      </c>
      <c r="GE2" s="2">
        <v>0</v>
      </c>
      <c r="GF2" s="2">
        <v>1</v>
      </c>
      <c r="GG2" s="2">
        <v>0</v>
      </c>
      <c r="GI2" s="1" t="s">
        <v>1197</v>
      </c>
      <c r="GJ2" s="2">
        <v>0</v>
      </c>
      <c r="GK2" s="2">
        <v>1</v>
      </c>
      <c r="GL2" s="2">
        <v>0</v>
      </c>
      <c r="GM2" s="2">
        <v>0</v>
      </c>
      <c r="GN2" s="2">
        <v>0</v>
      </c>
      <c r="GO2" s="2">
        <v>0</v>
      </c>
      <c r="GP2" s="2">
        <v>0</v>
      </c>
      <c r="GQ2" s="2">
        <v>0</v>
      </c>
      <c r="GR2" s="2">
        <v>0</v>
      </c>
      <c r="GS2" s="2">
        <v>0</v>
      </c>
      <c r="GT2" s="2">
        <v>0</v>
      </c>
      <c r="GU2" s="2">
        <v>0</v>
      </c>
      <c r="GV2" s="2">
        <v>0</v>
      </c>
      <c r="ABS2" s="1"/>
      <c r="ADK2" s="1"/>
      <c r="AIS2" s="1"/>
      <c r="ANP2" s="1"/>
      <c r="ARK2" s="1"/>
      <c r="AVT2" s="1">
        <v>130990767</v>
      </c>
      <c r="AVU2" s="1" t="s">
        <v>1666</v>
      </c>
      <c r="AVW2" s="1">
        <v>124</v>
      </c>
    </row>
    <row r="3" spans="1:1271" x14ac:dyDescent="0.3">
      <c r="A3" s="1" t="s">
        <v>1798</v>
      </c>
      <c r="B3" s="1" t="s">
        <v>1799</v>
      </c>
      <c r="C3" s="1" t="s">
        <v>1800</v>
      </c>
      <c r="D3" s="1" t="s">
        <v>1775</v>
      </c>
      <c r="E3" s="1" t="s">
        <v>1690</v>
      </c>
      <c r="F3" s="1" t="s">
        <v>1775</v>
      </c>
      <c r="H3" s="2"/>
      <c r="I3" s="1" t="s">
        <v>1659</v>
      </c>
      <c r="J3" s="1" t="s">
        <v>1660</v>
      </c>
      <c r="K3" s="1" t="s">
        <v>1660</v>
      </c>
      <c r="N3" s="1" t="s">
        <v>1153</v>
      </c>
      <c r="O3" s="2">
        <v>1</v>
      </c>
      <c r="P3" s="2">
        <v>0</v>
      </c>
      <c r="Q3" s="2">
        <v>0</v>
      </c>
      <c r="R3" s="2">
        <v>0</v>
      </c>
      <c r="S3" s="2">
        <v>0</v>
      </c>
      <c r="U3" s="1" t="s">
        <v>1183</v>
      </c>
      <c r="W3" s="1" t="s">
        <v>1155</v>
      </c>
      <c r="X3" s="1" t="s">
        <v>1156</v>
      </c>
      <c r="AN3" s="1" t="s">
        <v>1192</v>
      </c>
      <c r="AO3" s="2" t="s">
        <v>1162</v>
      </c>
      <c r="AP3" s="1" t="s">
        <v>1196</v>
      </c>
      <c r="AR3" s="1" t="s">
        <v>1801</v>
      </c>
      <c r="AS3" s="1" t="s">
        <v>1164</v>
      </c>
      <c r="AT3" s="1" t="s">
        <v>1155</v>
      </c>
      <c r="BO3" s="1" t="s">
        <v>1802</v>
      </c>
      <c r="BP3" s="2">
        <v>0</v>
      </c>
      <c r="BQ3" s="2">
        <v>0</v>
      </c>
      <c r="BR3" s="2">
        <v>0</v>
      </c>
      <c r="BS3" s="2">
        <v>0</v>
      </c>
      <c r="BT3" s="2">
        <v>0</v>
      </c>
      <c r="BU3" s="2">
        <v>0</v>
      </c>
      <c r="BV3" s="2">
        <v>0</v>
      </c>
      <c r="BW3" s="2">
        <v>0</v>
      </c>
      <c r="BX3" s="2">
        <v>0</v>
      </c>
      <c r="BY3" s="2">
        <v>0</v>
      </c>
      <c r="BZ3" s="2">
        <v>1</v>
      </c>
      <c r="CA3" s="2">
        <v>0</v>
      </c>
      <c r="CC3" s="1" t="s">
        <v>1155</v>
      </c>
      <c r="DQ3" s="1" t="s">
        <v>1164</v>
      </c>
      <c r="DR3" s="2">
        <v>0</v>
      </c>
      <c r="DS3" s="2">
        <v>0</v>
      </c>
      <c r="DT3" s="2">
        <v>0</v>
      </c>
      <c r="DU3" s="2">
        <v>0</v>
      </c>
      <c r="DV3" s="2">
        <v>1</v>
      </c>
      <c r="DX3" s="1" t="s">
        <v>1803</v>
      </c>
      <c r="DY3" s="2">
        <v>0</v>
      </c>
      <c r="DZ3" s="2">
        <v>0</v>
      </c>
      <c r="EA3" s="2">
        <v>0</v>
      </c>
      <c r="EB3" s="2">
        <v>0</v>
      </c>
      <c r="EC3" s="2">
        <v>0</v>
      </c>
      <c r="ED3" s="2">
        <v>0</v>
      </c>
      <c r="EE3" s="2">
        <v>0</v>
      </c>
      <c r="EF3" s="2">
        <v>1</v>
      </c>
      <c r="EG3" s="2">
        <v>0</v>
      </c>
      <c r="EH3" s="2">
        <v>0</v>
      </c>
      <c r="EI3" s="2">
        <v>0</v>
      </c>
      <c r="EJ3" s="2">
        <v>0</v>
      </c>
      <c r="EK3" s="2">
        <v>1</v>
      </c>
      <c r="EM3" s="1" t="s">
        <v>1164</v>
      </c>
      <c r="EN3" s="2">
        <v>0</v>
      </c>
      <c r="EO3" s="2">
        <v>0</v>
      </c>
      <c r="EP3" s="2">
        <v>0</v>
      </c>
      <c r="EQ3" s="2">
        <v>0</v>
      </c>
      <c r="ER3" s="2">
        <v>0</v>
      </c>
      <c r="ES3" s="2">
        <v>0</v>
      </c>
      <c r="ET3" s="2">
        <v>0</v>
      </c>
      <c r="EU3" s="2">
        <v>0</v>
      </c>
      <c r="EV3" s="2">
        <v>0</v>
      </c>
      <c r="EW3" s="2">
        <v>1</v>
      </c>
      <c r="EX3" s="2">
        <v>0</v>
      </c>
      <c r="EY3" s="2">
        <v>0</v>
      </c>
      <c r="EZ3" s="2">
        <v>0</v>
      </c>
      <c r="FB3" s="1" t="s">
        <v>1155</v>
      </c>
      <c r="GI3" s="1" t="s">
        <v>1518</v>
      </c>
      <c r="GJ3" s="2">
        <v>0</v>
      </c>
      <c r="GK3" s="2">
        <v>0</v>
      </c>
      <c r="GL3" s="2">
        <v>0</v>
      </c>
      <c r="GM3" s="2">
        <v>0</v>
      </c>
      <c r="GN3" s="2">
        <v>0</v>
      </c>
      <c r="GO3" s="2">
        <v>0</v>
      </c>
      <c r="GP3" s="2">
        <v>1</v>
      </c>
      <c r="GQ3" s="2">
        <v>0</v>
      </c>
      <c r="GR3" s="2">
        <v>0</v>
      </c>
      <c r="GS3" s="2">
        <v>1</v>
      </c>
      <c r="GT3" s="2">
        <v>0</v>
      </c>
      <c r="GU3" s="2">
        <v>0</v>
      </c>
      <c r="GV3" s="2">
        <v>0</v>
      </c>
      <c r="ABS3" s="1"/>
      <c r="ADK3" s="1"/>
      <c r="AIS3" s="1"/>
      <c r="ANP3" s="1"/>
      <c r="ARK3" s="1"/>
      <c r="AVT3" s="1">
        <v>130990950</v>
      </c>
      <c r="AVU3" s="1" t="s">
        <v>1674</v>
      </c>
      <c r="AVW3" s="1">
        <v>125</v>
      </c>
    </row>
    <row r="4" spans="1:1271" x14ac:dyDescent="0.3">
      <c r="A4" s="1" t="s">
        <v>1792</v>
      </c>
      <c r="B4" s="1" t="s">
        <v>1793</v>
      </c>
      <c r="C4" s="1" t="s">
        <v>1794</v>
      </c>
      <c r="D4" s="1" t="s">
        <v>1775</v>
      </c>
      <c r="E4" s="1" t="s">
        <v>1690</v>
      </c>
      <c r="F4" s="1" t="s">
        <v>1775</v>
      </c>
      <c r="H4" s="2"/>
      <c r="I4" s="1" t="s">
        <v>1659</v>
      </c>
      <c r="J4" s="1" t="s">
        <v>1660</v>
      </c>
      <c r="K4" s="1" t="s">
        <v>1660</v>
      </c>
      <c r="N4" s="1" t="s">
        <v>1153</v>
      </c>
      <c r="O4" s="2">
        <v>1</v>
      </c>
      <c r="P4" s="2">
        <v>0</v>
      </c>
      <c r="Q4" s="2">
        <v>0</v>
      </c>
      <c r="R4" s="2">
        <v>0</v>
      </c>
      <c r="S4" s="2">
        <v>0</v>
      </c>
      <c r="U4" s="1" t="s">
        <v>1190</v>
      </c>
      <c r="W4" s="1" t="s">
        <v>1155</v>
      </c>
      <c r="X4" s="1" t="s">
        <v>1155</v>
      </c>
      <c r="AB4" s="1" t="s">
        <v>1795</v>
      </c>
      <c r="AC4" s="2">
        <v>0</v>
      </c>
      <c r="AD4" s="2">
        <v>0</v>
      </c>
      <c r="AE4" s="58">
        <v>0</v>
      </c>
      <c r="AF4" s="58">
        <v>1</v>
      </c>
      <c r="AG4" s="58">
        <v>0</v>
      </c>
      <c r="AH4" s="58">
        <v>1</v>
      </c>
      <c r="AI4" s="58">
        <v>0</v>
      </c>
      <c r="AJ4" s="58">
        <v>0</v>
      </c>
      <c r="AK4" s="2">
        <v>0</v>
      </c>
      <c r="AM4" s="1" t="s">
        <v>1709</v>
      </c>
      <c r="BO4" s="1" t="s">
        <v>1188</v>
      </c>
      <c r="BP4" s="2">
        <v>1</v>
      </c>
      <c r="BQ4" s="2">
        <v>0</v>
      </c>
      <c r="BR4" s="2">
        <v>0</v>
      </c>
      <c r="BS4" s="2">
        <v>0</v>
      </c>
      <c r="BT4" s="2">
        <v>0</v>
      </c>
      <c r="BU4" s="2">
        <v>0</v>
      </c>
      <c r="BV4" s="2">
        <v>0</v>
      </c>
      <c r="BW4" s="2">
        <v>0</v>
      </c>
      <c r="BX4" s="2">
        <v>0</v>
      </c>
      <c r="BY4" s="2">
        <v>0</v>
      </c>
      <c r="BZ4" s="2">
        <v>0</v>
      </c>
      <c r="CA4" s="2">
        <v>0</v>
      </c>
      <c r="FB4" s="1" t="s">
        <v>1155</v>
      </c>
      <c r="GI4" s="1" t="s">
        <v>1796</v>
      </c>
      <c r="GJ4" s="2">
        <v>0</v>
      </c>
      <c r="GK4" s="2">
        <v>0</v>
      </c>
      <c r="GL4" s="2">
        <v>1</v>
      </c>
      <c r="GM4" s="2">
        <v>0</v>
      </c>
      <c r="GN4" s="2">
        <v>1</v>
      </c>
      <c r="GO4" s="2">
        <v>0</v>
      </c>
      <c r="GP4" s="2">
        <v>1</v>
      </c>
      <c r="GQ4" s="2">
        <v>1</v>
      </c>
      <c r="GR4" s="2">
        <v>0</v>
      </c>
      <c r="GS4" s="2">
        <v>0</v>
      </c>
      <c r="GT4" s="2">
        <v>0</v>
      </c>
      <c r="GU4" s="2">
        <v>0</v>
      </c>
      <c r="GV4" s="2">
        <v>0</v>
      </c>
      <c r="ABS4" s="1"/>
      <c r="ADK4" s="1"/>
      <c r="AIS4" s="1"/>
      <c r="ANP4" s="1"/>
      <c r="ARK4" s="1"/>
      <c r="AVT4" s="1">
        <v>130991041</v>
      </c>
      <c r="AVU4" s="1" t="s">
        <v>1685</v>
      </c>
      <c r="AVW4" s="1">
        <v>127</v>
      </c>
    </row>
    <row r="5" spans="1:1271" x14ac:dyDescent="0.3">
      <c r="A5" s="1" t="s">
        <v>1704</v>
      </c>
      <c r="B5" s="1" t="s">
        <v>1705</v>
      </c>
      <c r="C5" s="1" t="s">
        <v>1706</v>
      </c>
      <c r="D5" s="1" t="s">
        <v>1707</v>
      </c>
      <c r="E5" s="1" t="s">
        <v>1658</v>
      </c>
      <c r="F5" s="1" t="s">
        <v>1707</v>
      </c>
      <c r="H5" s="2"/>
      <c r="I5" s="1" t="s">
        <v>1659</v>
      </c>
      <c r="J5" s="1" t="s">
        <v>1660</v>
      </c>
      <c r="K5" s="1" t="s">
        <v>1660</v>
      </c>
      <c r="N5" s="1" t="s">
        <v>1153</v>
      </c>
      <c r="O5" s="2">
        <v>1</v>
      </c>
      <c r="P5" s="2">
        <v>0</v>
      </c>
      <c r="Q5" s="2">
        <v>0</v>
      </c>
      <c r="R5" s="2">
        <v>0</v>
      </c>
      <c r="S5" s="2">
        <v>0</v>
      </c>
      <c r="U5" s="1" t="s">
        <v>1183</v>
      </c>
      <c r="W5" s="1" t="s">
        <v>1156</v>
      </c>
      <c r="X5" s="1" t="s">
        <v>1708</v>
      </c>
      <c r="Y5" s="1" t="s">
        <v>1184</v>
      </c>
      <c r="AA5" s="1" t="s">
        <v>1709</v>
      </c>
      <c r="AN5" s="1" t="s">
        <v>1192</v>
      </c>
      <c r="AO5" s="2" t="s">
        <v>1162</v>
      </c>
      <c r="AP5" s="1" t="s">
        <v>1196</v>
      </c>
      <c r="AR5" s="1" t="s">
        <v>1710</v>
      </c>
      <c r="AS5" s="1" t="s">
        <v>1162</v>
      </c>
      <c r="AT5" s="1" t="s">
        <v>1155</v>
      </c>
      <c r="BO5" s="1" t="s">
        <v>1158</v>
      </c>
      <c r="BP5" s="2">
        <v>0</v>
      </c>
      <c r="BQ5" s="2">
        <v>0</v>
      </c>
      <c r="BR5" s="2">
        <v>0</v>
      </c>
      <c r="BS5" s="2">
        <v>0</v>
      </c>
      <c r="BT5" s="2">
        <v>0</v>
      </c>
      <c r="BU5" s="2">
        <v>1</v>
      </c>
      <c r="BV5" s="2">
        <v>0</v>
      </c>
      <c r="BW5" s="2">
        <v>0</v>
      </c>
      <c r="BX5" s="2">
        <v>0</v>
      </c>
      <c r="BY5" s="2">
        <v>0</v>
      </c>
      <c r="BZ5" s="2">
        <v>0</v>
      </c>
      <c r="CA5" s="2">
        <v>0</v>
      </c>
      <c r="CC5" s="1" t="s">
        <v>1155</v>
      </c>
      <c r="DQ5" s="1" t="s">
        <v>1164</v>
      </c>
      <c r="DR5" s="2">
        <v>0</v>
      </c>
      <c r="DS5" s="2">
        <v>0</v>
      </c>
      <c r="DT5" s="2">
        <v>0</v>
      </c>
      <c r="DU5" s="2">
        <v>0</v>
      </c>
      <c r="DV5" s="2">
        <v>1</v>
      </c>
      <c r="DX5" s="1" t="s">
        <v>1711</v>
      </c>
      <c r="DY5" s="2">
        <v>0</v>
      </c>
      <c r="DZ5" s="2">
        <v>1</v>
      </c>
      <c r="EA5" s="2">
        <v>0</v>
      </c>
      <c r="EB5" s="2">
        <v>0</v>
      </c>
      <c r="EC5" s="2">
        <v>0</v>
      </c>
      <c r="ED5" s="2">
        <v>0</v>
      </c>
      <c r="EE5" s="2">
        <v>0</v>
      </c>
      <c r="EF5" s="2">
        <v>1</v>
      </c>
      <c r="EG5" s="2">
        <v>0</v>
      </c>
      <c r="EH5" s="2">
        <v>0</v>
      </c>
      <c r="EI5" s="2">
        <v>0</v>
      </c>
      <c r="EJ5" s="2">
        <v>0</v>
      </c>
      <c r="EK5" s="2">
        <v>1</v>
      </c>
      <c r="EM5" s="1" t="s">
        <v>1194</v>
      </c>
      <c r="EN5" s="2">
        <v>0</v>
      </c>
      <c r="EO5" s="2">
        <v>0</v>
      </c>
      <c r="EP5" s="2">
        <v>0</v>
      </c>
      <c r="EQ5" s="2">
        <v>0</v>
      </c>
      <c r="ER5" s="2">
        <v>1</v>
      </c>
      <c r="ES5" s="2">
        <v>0</v>
      </c>
      <c r="ET5" s="2">
        <v>0</v>
      </c>
      <c r="EU5" s="2">
        <v>0</v>
      </c>
      <c r="EV5" s="2">
        <v>0</v>
      </c>
      <c r="EW5" s="2">
        <v>0</v>
      </c>
      <c r="EX5" s="2">
        <v>0</v>
      </c>
      <c r="EY5" s="2">
        <v>0</v>
      </c>
      <c r="EZ5" s="2">
        <v>0</v>
      </c>
      <c r="FB5" s="1" t="s">
        <v>1155</v>
      </c>
      <c r="GI5" s="1" t="s">
        <v>1712</v>
      </c>
      <c r="GJ5" s="2">
        <v>0</v>
      </c>
      <c r="GK5" s="2">
        <v>1</v>
      </c>
      <c r="GL5" s="2">
        <v>0</v>
      </c>
      <c r="GM5" s="2">
        <v>0</v>
      </c>
      <c r="GN5" s="2">
        <v>0</v>
      </c>
      <c r="GO5" s="2">
        <v>0</v>
      </c>
      <c r="GP5" s="2">
        <v>0</v>
      </c>
      <c r="GQ5" s="2">
        <v>1</v>
      </c>
      <c r="GR5" s="2">
        <v>0</v>
      </c>
      <c r="GS5" s="2">
        <v>0</v>
      </c>
      <c r="GT5" s="2">
        <v>0</v>
      </c>
      <c r="GU5" s="2">
        <v>0</v>
      </c>
      <c r="GV5" s="2">
        <v>0</v>
      </c>
      <c r="ZS5" s="1" t="s">
        <v>1755</v>
      </c>
      <c r="ABS5" s="1"/>
      <c r="ADK5" s="1"/>
      <c r="AIS5" s="1"/>
      <c r="ANP5" s="1"/>
      <c r="ARD5" s="85"/>
      <c r="ARK5" s="1"/>
      <c r="AVT5" s="1">
        <v>130991042</v>
      </c>
      <c r="AVU5" s="1" t="s">
        <v>1685</v>
      </c>
      <c r="AVW5" s="1">
        <v>128</v>
      </c>
    </row>
    <row r="6" spans="1:1271" x14ac:dyDescent="0.3">
      <c r="A6" s="1" t="s">
        <v>1850</v>
      </c>
      <c r="B6" s="1" t="s">
        <v>1851</v>
      </c>
      <c r="C6" s="1" t="s">
        <v>1852</v>
      </c>
      <c r="D6" s="1" t="s">
        <v>1689</v>
      </c>
      <c r="E6" s="1" t="s">
        <v>1832</v>
      </c>
      <c r="F6" s="1" t="s">
        <v>1689</v>
      </c>
      <c r="H6" s="2"/>
      <c r="I6" s="1" t="s">
        <v>1659</v>
      </c>
      <c r="J6" s="1" t="s">
        <v>1660</v>
      </c>
      <c r="K6" s="1" t="s">
        <v>1660</v>
      </c>
      <c r="N6" s="1" t="s">
        <v>1153</v>
      </c>
      <c r="O6" s="2">
        <v>1</v>
      </c>
      <c r="P6" s="2">
        <v>0</v>
      </c>
      <c r="Q6" s="2">
        <v>0</v>
      </c>
      <c r="R6" s="2">
        <v>0</v>
      </c>
      <c r="S6" s="2">
        <v>0</v>
      </c>
      <c r="U6" s="1" t="s">
        <v>1190</v>
      </c>
      <c r="W6" s="1" t="s">
        <v>1155</v>
      </c>
      <c r="X6" s="1" t="s">
        <v>1155</v>
      </c>
      <c r="AB6" s="1" t="s">
        <v>1853</v>
      </c>
      <c r="AC6" s="2">
        <v>0</v>
      </c>
      <c r="AD6" s="2">
        <v>1</v>
      </c>
      <c r="AE6" s="58">
        <v>0</v>
      </c>
      <c r="AF6" s="58">
        <v>1</v>
      </c>
      <c r="AG6" s="58">
        <v>0</v>
      </c>
      <c r="AH6" s="58">
        <v>1</v>
      </c>
      <c r="AI6" s="58">
        <v>0</v>
      </c>
      <c r="AJ6" s="58">
        <v>0</v>
      </c>
      <c r="AK6" s="2">
        <v>0</v>
      </c>
      <c r="AM6" s="1" t="s">
        <v>1709</v>
      </c>
      <c r="BO6" s="1" t="s">
        <v>1158</v>
      </c>
      <c r="BP6" s="2">
        <v>0</v>
      </c>
      <c r="BQ6" s="2">
        <v>0</v>
      </c>
      <c r="BR6" s="2">
        <v>0</v>
      </c>
      <c r="BS6" s="2">
        <v>0</v>
      </c>
      <c r="BT6" s="2">
        <v>0</v>
      </c>
      <c r="BU6" s="2">
        <v>1</v>
      </c>
      <c r="BV6" s="2">
        <v>0</v>
      </c>
      <c r="BW6" s="2">
        <v>0</v>
      </c>
      <c r="BX6" s="2">
        <v>0</v>
      </c>
      <c r="BY6" s="2">
        <v>0</v>
      </c>
      <c r="BZ6" s="2">
        <v>0</v>
      </c>
      <c r="CA6" s="2">
        <v>0</v>
      </c>
      <c r="FB6" s="1" t="s">
        <v>1155</v>
      </c>
      <c r="GI6" s="1" t="s">
        <v>1854</v>
      </c>
      <c r="GJ6" s="2">
        <v>0</v>
      </c>
      <c r="GK6" s="2">
        <v>0</v>
      </c>
      <c r="GL6" s="2">
        <v>1</v>
      </c>
      <c r="GM6" s="2">
        <v>0</v>
      </c>
      <c r="GN6" s="2">
        <v>1</v>
      </c>
      <c r="GO6" s="2">
        <v>0</v>
      </c>
      <c r="GP6" s="2">
        <v>1</v>
      </c>
      <c r="GQ6" s="2">
        <v>1</v>
      </c>
      <c r="GR6" s="2">
        <v>1</v>
      </c>
      <c r="GS6" s="2">
        <v>0</v>
      </c>
      <c r="GT6" s="2">
        <v>0</v>
      </c>
      <c r="GU6" s="2">
        <v>0</v>
      </c>
      <c r="GV6" s="2">
        <v>0</v>
      </c>
      <c r="ABS6" s="1"/>
      <c r="ADK6" s="1"/>
      <c r="AIS6" s="1"/>
      <c r="ANP6" s="1"/>
      <c r="ARK6" s="1"/>
      <c r="AVT6" s="1">
        <v>130991195</v>
      </c>
      <c r="AVU6" s="1" t="s">
        <v>1703</v>
      </c>
      <c r="AVW6" s="1">
        <v>129</v>
      </c>
    </row>
    <row r="7" spans="1:1271" x14ac:dyDescent="0.3">
      <c r="A7" s="1" t="s">
        <v>1837</v>
      </c>
      <c r="B7" s="1" t="s">
        <v>1838</v>
      </c>
      <c r="C7" s="1" t="s">
        <v>1839</v>
      </c>
      <c r="D7" s="1" t="s">
        <v>1689</v>
      </c>
      <c r="E7" s="1" t="s">
        <v>1832</v>
      </c>
      <c r="F7" s="1" t="s">
        <v>1689</v>
      </c>
      <c r="H7" s="2"/>
      <c r="I7" s="1" t="s">
        <v>1659</v>
      </c>
      <c r="J7" s="1" t="s">
        <v>1660</v>
      </c>
      <c r="K7" s="1" t="s">
        <v>1660</v>
      </c>
      <c r="N7" s="1" t="s">
        <v>1153</v>
      </c>
      <c r="O7" s="2">
        <v>1</v>
      </c>
      <c r="P7" s="2">
        <v>0</v>
      </c>
      <c r="Q7" s="2">
        <v>0</v>
      </c>
      <c r="R7" s="2">
        <v>0</v>
      </c>
      <c r="S7" s="2">
        <v>0</v>
      </c>
      <c r="U7" s="1" t="s">
        <v>1840</v>
      </c>
      <c r="W7" s="1" t="s">
        <v>1156</v>
      </c>
      <c r="X7" s="1" t="s">
        <v>1156</v>
      </c>
      <c r="AN7" s="1" t="s">
        <v>1182</v>
      </c>
      <c r="AO7" s="2" t="s">
        <v>1162</v>
      </c>
      <c r="AP7" s="1" t="s">
        <v>1398</v>
      </c>
      <c r="AR7" s="1" t="s">
        <v>1801</v>
      </c>
      <c r="AS7" s="1" t="s">
        <v>1841</v>
      </c>
      <c r="AT7" s="1" t="s">
        <v>1156</v>
      </c>
      <c r="AU7" s="1" t="s">
        <v>1157</v>
      </c>
      <c r="AV7" s="1" t="s">
        <v>1191</v>
      </c>
      <c r="AW7" s="2">
        <v>1</v>
      </c>
      <c r="AX7" s="2">
        <v>0</v>
      </c>
      <c r="AY7" s="2">
        <v>0</v>
      </c>
      <c r="AZ7" s="2">
        <v>0</v>
      </c>
      <c r="BA7" s="2">
        <v>0</v>
      </c>
      <c r="BB7" s="2">
        <v>0</v>
      </c>
      <c r="BC7" s="2">
        <v>0</v>
      </c>
      <c r="BD7" s="2">
        <v>0</v>
      </c>
      <c r="BO7" s="1" t="s">
        <v>1158</v>
      </c>
      <c r="BP7" s="2">
        <v>0</v>
      </c>
      <c r="BQ7" s="2">
        <v>0</v>
      </c>
      <c r="BR7" s="2">
        <v>0</v>
      </c>
      <c r="BS7" s="2">
        <v>0</v>
      </c>
      <c r="BT7" s="2">
        <v>0</v>
      </c>
      <c r="BU7" s="2">
        <v>1</v>
      </c>
      <c r="BV7" s="2">
        <v>0</v>
      </c>
      <c r="BW7" s="2">
        <v>0</v>
      </c>
      <c r="BX7" s="2">
        <v>0</v>
      </c>
      <c r="BY7" s="2">
        <v>0</v>
      </c>
      <c r="BZ7" s="2">
        <v>0</v>
      </c>
      <c r="CA7" s="2">
        <v>0</v>
      </c>
      <c r="CC7" s="1" t="s">
        <v>1156</v>
      </c>
      <c r="CD7" s="1" t="s">
        <v>1399</v>
      </c>
      <c r="CF7" s="2">
        <v>15</v>
      </c>
      <c r="CG7" s="1" t="s">
        <v>1156</v>
      </c>
      <c r="CH7" s="1" t="s">
        <v>1186</v>
      </c>
      <c r="CI7" s="1" t="s">
        <v>1842</v>
      </c>
      <c r="CJ7" s="2">
        <v>0</v>
      </c>
      <c r="CK7" s="2">
        <v>0</v>
      </c>
      <c r="CL7" s="2">
        <v>1</v>
      </c>
      <c r="CM7" s="2">
        <v>0</v>
      </c>
      <c r="CN7" s="2">
        <v>0</v>
      </c>
      <c r="CO7" s="2">
        <v>0</v>
      </c>
      <c r="CY7" s="1" t="s">
        <v>1400</v>
      </c>
      <c r="CZ7" s="2">
        <v>0</v>
      </c>
      <c r="DA7" s="2">
        <v>0</v>
      </c>
      <c r="DB7" s="2">
        <v>0</v>
      </c>
      <c r="DC7" s="2">
        <v>0</v>
      </c>
      <c r="DD7" s="2">
        <v>1</v>
      </c>
      <c r="DE7" s="2">
        <v>0</v>
      </c>
      <c r="DF7" s="2">
        <v>0</v>
      </c>
      <c r="DG7" s="2">
        <v>0</v>
      </c>
      <c r="DI7" s="1" t="s">
        <v>1162</v>
      </c>
      <c r="DQ7" s="1" t="s">
        <v>1169</v>
      </c>
      <c r="DR7" s="2">
        <v>0</v>
      </c>
      <c r="DS7" s="2">
        <v>1</v>
      </c>
      <c r="DT7" s="2">
        <v>0</v>
      </c>
      <c r="DU7" s="2">
        <v>0</v>
      </c>
      <c r="DV7" s="2">
        <v>0</v>
      </c>
      <c r="DX7" s="1" t="s">
        <v>1843</v>
      </c>
      <c r="DY7" s="2">
        <v>0</v>
      </c>
      <c r="DZ7" s="2">
        <v>0</v>
      </c>
      <c r="EA7" s="2">
        <v>0</v>
      </c>
      <c r="EB7" s="2">
        <v>0</v>
      </c>
      <c r="EC7" s="2">
        <v>0</v>
      </c>
      <c r="ED7" s="2">
        <v>0</v>
      </c>
      <c r="EE7" s="2">
        <v>0</v>
      </c>
      <c r="EF7" s="2">
        <v>0</v>
      </c>
      <c r="EG7" s="2">
        <v>0</v>
      </c>
      <c r="EH7" s="2">
        <v>0</v>
      </c>
      <c r="EI7" s="2">
        <v>0</v>
      </c>
      <c r="EJ7" s="2">
        <v>0</v>
      </c>
      <c r="EK7" s="2">
        <v>1</v>
      </c>
      <c r="EM7" s="1" t="s">
        <v>1194</v>
      </c>
      <c r="EN7" s="2">
        <v>0</v>
      </c>
      <c r="EO7" s="2">
        <v>0</v>
      </c>
      <c r="EP7" s="2">
        <v>0</v>
      </c>
      <c r="EQ7" s="2">
        <v>0</v>
      </c>
      <c r="ER7" s="2">
        <v>1</v>
      </c>
      <c r="ES7" s="2">
        <v>0</v>
      </c>
      <c r="ET7" s="2">
        <v>0</v>
      </c>
      <c r="EU7" s="2">
        <v>0</v>
      </c>
      <c r="EV7" s="2">
        <v>0</v>
      </c>
      <c r="EW7" s="2">
        <v>0</v>
      </c>
      <c r="EX7" s="2">
        <v>0</v>
      </c>
      <c r="EY7" s="2">
        <v>0</v>
      </c>
      <c r="EZ7" s="2">
        <v>0</v>
      </c>
      <c r="FB7" s="1" t="s">
        <v>1156</v>
      </c>
      <c r="FC7" s="1" t="s">
        <v>1158</v>
      </c>
      <c r="FD7" s="2">
        <v>0</v>
      </c>
      <c r="FE7" s="2">
        <v>0</v>
      </c>
      <c r="FF7" s="2">
        <v>0</v>
      </c>
      <c r="FG7" s="2">
        <v>0</v>
      </c>
      <c r="FH7" s="2">
        <v>1</v>
      </c>
      <c r="FI7" s="2">
        <v>0</v>
      </c>
      <c r="FJ7" s="2">
        <v>0</v>
      </c>
      <c r="FL7" s="1" t="s">
        <v>1844</v>
      </c>
      <c r="FM7" s="2">
        <v>0</v>
      </c>
      <c r="FN7" s="2">
        <v>0</v>
      </c>
      <c r="FO7" s="2">
        <v>0</v>
      </c>
      <c r="FP7" s="2">
        <v>0</v>
      </c>
      <c r="FQ7" s="2">
        <v>0</v>
      </c>
      <c r="FR7" s="2">
        <v>0</v>
      </c>
      <c r="FS7" s="2">
        <v>0</v>
      </c>
      <c r="FT7" s="2">
        <v>0</v>
      </c>
      <c r="FU7" s="2">
        <v>0</v>
      </c>
      <c r="FV7" s="2">
        <v>1</v>
      </c>
      <c r="FW7" s="2">
        <v>0</v>
      </c>
      <c r="FX7" s="2">
        <v>0</v>
      </c>
      <c r="FY7" s="2">
        <v>0</v>
      </c>
      <c r="GA7" s="1" t="s">
        <v>1156</v>
      </c>
      <c r="GI7" s="1" t="s">
        <v>1517</v>
      </c>
      <c r="GJ7" s="2">
        <v>0</v>
      </c>
      <c r="GK7" s="2">
        <v>0</v>
      </c>
      <c r="GL7" s="2">
        <v>0</v>
      </c>
      <c r="GM7" s="2">
        <v>0</v>
      </c>
      <c r="GN7" s="2">
        <v>0</v>
      </c>
      <c r="GO7" s="2">
        <v>0</v>
      </c>
      <c r="GP7" s="2">
        <v>0</v>
      </c>
      <c r="GQ7" s="2">
        <v>0</v>
      </c>
      <c r="GR7" s="2">
        <v>1</v>
      </c>
      <c r="GS7" s="2">
        <v>0</v>
      </c>
      <c r="GT7" s="2">
        <v>0</v>
      </c>
      <c r="GU7" s="2">
        <v>0</v>
      </c>
      <c r="GV7" s="2">
        <v>0</v>
      </c>
      <c r="ABS7" s="1"/>
      <c r="ADK7" s="1"/>
      <c r="AIS7" s="1"/>
      <c r="ANP7" s="1"/>
      <c r="ARK7" s="1"/>
      <c r="AVT7" s="1">
        <v>130991214</v>
      </c>
      <c r="AVU7" s="1" t="s">
        <v>1713</v>
      </c>
      <c r="AVW7" s="1">
        <v>130</v>
      </c>
    </row>
    <row r="8" spans="1:1271" x14ac:dyDescent="0.3">
      <c r="A8" s="1" t="s">
        <v>1846</v>
      </c>
      <c r="B8" s="1" t="s">
        <v>1847</v>
      </c>
      <c r="C8" s="1" t="s">
        <v>1848</v>
      </c>
      <c r="D8" s="1" t="s">
        <v>1689</v>
      </c>
      <c r="E8" s="1" t="s">
        <v>1832</v>
      </c>
      <c r="F8" s="1" t="s">
        <v>1689</v>
      </c>
      <c r="H8" s="2"/>
      <c r="I8" s="1" t="s">
        <v>1659</v>
      </c>
      <c r="J8" s="1" t="s">
        <v>1660</v>
      </c>
      <c r="K8" s="1" t="s">
        <v>1660</v>
      </c>
      <c r="N8" s="1" t="s">
        <v>1153</v>
      </c>
      <c r="O8" s="2">
        <v>1</v>
      </c>
      <c r="P8" s="2">
        <v>0</v>
      </c>
      <c r="Q8" s="2">
        <v>0</v>
      </c>
      <c r="R8" s="2">
        <v>0</v>
      </c>
      <c r="S8" s="2">
        <v>0</v>
      </c>
      <c r="U8" s="1" t="s">
        <v>1190</v>
      </c>
      <c r="W8" s="1" t="s">
        <v>1155</v>
      </c>
      <c r="X8" s="1" t="s">
        <v>1155</v>
      </c>
      <c r="AB8" s="1" t="s">
        <v>1191</v>
      </c>
      <c r="AC8" s="2">
        <v>1</v>
      </c>
      <c r="AD8" s="2">
        <v>0</v>
      </c>
      <c r="AE8" s="58">
        <v>0</v>
      </c>
      <c r="AF8" s="58">
        <v>0</v>
      </c>
      <c r="AG8" s="58">
        <v>0</v>
      </c>
      <c r="AH8" s="58">
        <v>0</v>
      </c>
      <c r="AI8" s="58">
        <v>0</v>
      </c>
      <c r="AJ8" s="58">
        <v>0</v>
      </c>
      <c r="AK8" s="2">
        <v>0</v>
      </c>
      <c r="AM8" s="1" t="s">
        <v>1709</v>
      </c>
      <c r="BO8" s="1" t="s">
        <v>1158</v>
      </c>
      <c r="BP8" s="2">
        <v>0</v>
      </c>
      <c r="BQ8" s="2">
        <v>0</v>
      </c>
      <c r="BR8" s="2">
        <v>0</v>
      </c>
      <c r="BS8" s="2">
        <v>0</v>
      </c>
      <c r="BT8" s="2">
        <v>0</v>
      </c>
      <c r="BU8" s="2">
        <v>1</v>
      </c>
      <c r="BV8" s="2">
        <v>0</v>
      </c>
      <c r="BW8" s="2">
        <v>0</v>
      </c>
      <c r="BX8" s="2">
        <v>0</v>
      </c>
      <c r="BY8" s="2">
        <v>0</v>
      </c>
      <c r="BZ8" s="2">
        <v>0</v>
      </c>
      <c r="CA8" s="2">
        <v>0</v>
      </c>
      <c r="FB8" s="1" t="s">
        <v>1155</v>
      </c>
      <c r="GI8" s="1" t="s">
        <v>1402</v>
      </c>
      <c r="GJ8" s="2">
        <v>0</v>
      </c>
      <c r="GK8" s="2">
        <v>0</v>
      </c>
      <c r="GL8" s="2">
        <v>0</v>
      </c>
      <c r="GM8" s="2">
        <v>0</v>
      </c>
      <c r="GN8" s="2">
        <v>0</v>
      </c>
      <c r="GO8" s="2">
        <v>0</v>
      </c>
      <c r="GP8" s="2">
        <v>0</v>
      </c>
      <c r="GQ8" s="2">
        <v>1</v>
      </c>
      <c r="GR8" s="2">
        <v>0</v>
      </c>
      <c r="GS8" s="2">
        <v>0</v>
      </c>
      <c r="GT8" s="2">
        <v>0</v>
      </c>
      <c r="GU8" s="2">
        <v>0</v>
      </c>
      <c r="GV8" s="2">
        <v>0</v>
      </c>
      <c r="ABS8" s="1"/>
      <c r="ADK8" s="1"/>
      <c r="AIS8" s="1"/>
      <c r="ANP8" s="1"/>
      <c r="ARK8" s="1"/>
      <c r="AVT8" s="1">
        <v>130991278</v>
      </c>
      <c r="AVU8" s="1" t="s">
        <v>1734</v>
      </c>
      <c r="AVW8" s="1">
        <v>131</v>
      </c>
    </row>
    <row r="9" spans="1:1271" x14ac:dyDescent="0.3">
      <c r="A9" s="1" t="s">
        <v>1772</v>
      </c>
      <c r="B9" s="1" t="s">
        <v>1773</v>
      </c>
      <c r="C9" s="1" t="s">
        <v>1774</v>
      </c>
      <c r="D9" s="1" t="s">
        <v>1775</v>
      </c>
      <c r="E9" s="1" t="s">
        <v>1690</v>
      </c>
      <c r="F9" s="1" t="s">
        <v>1775</v>
      </c>
      <c r="H9" s="2"/>
      <c r="I9" s="1" t="s">
        <v>1659</v>
      </c>
      <c r="J9" s="1" t="s">
        <v>1660</v>
      </c>
      <c r="K9" s="1" t="s">
        <v>1660</v>
      </c>
      <c r="N9" s="1" t="s">
        <v>1153</v>
      </c>
      <c r="O9" s="2">
        <v>1</v>
      </c>
      <c r="P9" s="2">
        <v>0</v>
      </c>
      <c r="Q9" s="2">
        <v>0</v>
      </c>
      <c r="R9" s="2">
        <v>0</v>
      </c>
      <c r="S9" s="2">
        <v>0</v>
      </c>
      <c r="U9" s="1" t="s">
        <v>1190</v>
      </c>
      <c r="W9" s="1" t="s">
        <v>1162</v>
      </c>
      <c r="X9" s="1" t="s">
        <v>1155</v>
      </c>
      <c r="AB9" s="1" t="s">
        <v>1776</v>
      </c>
      <c r="AC9" s="2">
        <v>0</v>
      </c>
      <c r="AD9" s="2">
        <v>0</v>
      </c>
      <c r="AE9" s="58">
        <v>0</v>
      </c>
      <c r="AF9" s="58">
        <v>1</v>
      </c>
      <c r="AG9" s="58">
        <v>0</v>
      </c>
      <c r="AH9" s="58">
        <v>0</v>
      </c>
      <c r="AI9" s="58">
        <v>0</v>
      </c>
      <c r="AJ9" s="58">
        <v>0</v>
      </c>
      <c r="AK9" s="2">
        <v>0</v>
      </c>
      <c r="AM9" s="1" t="s">
        <v>1709</v>
      </c>
      <c r="BO9" s="1" t="s">
        <v>1188</v>
      </c>
      <c r="BP9" s="2">
        <v>1</v>
      </c>
      <c r="BQ9" s="2">
        <v>0</v>
      </c>
      <c r="BR9" s="2">
        <v>0</v>
      </c>
      <c r="BS9" s="2">
        <v>0</v>
      </c>
      <c r="BT9" s="2">
        <v>0</v>
      </c>
      <c r="BU9" s="2">
        <v>0</v>
      </c>
      <c r="BV9" s="2">
        <v>0</v>
      </c>
      <c r="BW9" s="2">
        <v>0</v>
      </c>
      <c r="BX9" s="2">
        <v>0</v>
      </c>
      <c r="BY9" s="2">
        <v>0</v>
      </c>
      <c r="BZ9" s="2">
        <v>0</v>
      </c>
      <c r="CA9" s="2">
        <v>0</v>
      </c>
      <c r="FB9" s="1" t="s">
        <v>1155</v>
      </c>
      <c r="GI9" s="1" t="s">
        <v>1200</v>
      </c>
      <c r="GJ9" s="2">
        <v>0</v>
      </c>
      <c r="GK9" s="2">
        <v>1</v>
      </c>
      <c r="GL9" s="2">
        <v>0</v>
      </c>
      <c r="GM9" s="2">
        <v>0</v>
      </c>
      <c r="GN9" s="2">
        <v>1</v>
      </c>
      <c r="GO9" s="2">
        <v>0</v>
      </c>
      <c r="GP9" s="2">
        <v>0</v>
      </c>
      <c r="GQ9" s="2">
        <v>0</v>
      </c>
      <c r="GR9" s="2">
        <v>0</v>
      </c>
      <c r="GS9" s="2">
        <v>0</v>
      </c>
      <c r="GT9" s="2">
        <v>0</v>
      </c>
      <c r="GU9" s="2">
        <v>0</v>
      </c>
      <c r="GV9" s="2">
        <v>0</v>
      </c>
      <c r="ABS9" s="1"/>
      <c r="ADK9" s="1"/>
      <c r="AIS9" s="1"/>
      <c r="ANP9" s="1"/>
      <c r="ARD9" s="85"/>
      <c r="ARK9" s="1"/>
      <c r="AVT9" s="1">
        <v>130991385</v>
      </c>
      <c r="AVU9" s="1" t="s">
        <v>1750</v>
      </c>
      <c r="AVW9" s="1">
        <v>132</v>
      </c>
    </row>
    <row r="10" spans="1:1271" x14ac:dyDescent="0.3">
      <c r="A10" s="1" t="s">
        <v>1686</v>
      </c>
      <c r="B10" s="1" t="s">
        <v>1687</v>
      </c>
      <c r="C10" s="1" t="s">
        <v>1688</v>
      </c>
      <c r="D10" s="1" t="s">
        <v>1689</v>
      </c>
      <c r="E10" s="1" t="s">
        <v>1690</v>
      </c>
      <c r="F10" s="1" t="s">
        <v>1689</v>
      </c>
      <c r="H10" s="2"/>
      <c r="I10" s="1" t="s">
        <v>1659</v>
      </c>
      <c r="J10" s="1" t="s">
        <v>1660</v>
      </c>
      <c r="K10" s="1" t="s">
        <v>1660</v>
      </c>
      <c r="N10" s="1" t="s">
        <v>1170</v>
      </c>
      <c r="O10" s="2">
        <v>0</v>
      </c>
      <c r="P10" s="2">
        <v>0</v>
      </c>
      <c r="Q10" s="2">
        <v>1</v>
      </c>
      <c r="R10" s="2">
        <v>0</v>
      </c>
      <c r="S10" s="2">
        <v>0</v>
      </c>
      <c r="AC10" s="2"/>
      <c r="AD10" s="2"/>
      <c r="AE10" s="58"/>
      <c r="AF10" s="58"/>
      <c r="AG10" s="58"/>
      <c r="AH10" s="58"/>
      <c r="AI10" s="58"/>
      <c r="AJ10" s="58"/>
      <c r="AK10" s="2"/>
      <c r="BP10" s="2"/>
      <c r="BQ10" s="2"/>
      <c r="BR10" s="2"/>
      <c r="BS10" s="2"/>
      <c r="BT10" s="2"/>
      <c r="BU10" s="2"/>
      <c r="BV10" s="2"/>
      <c r="BW10" s="2"/>
      <c r="BX10" s="2"/>
      <c r="BY10" s="2"/>
      <c r="BZ10" s="2"/>
      <c r="CA10" s="2"/>
      <c r="GJ10" s="2"/>
      <c r="GK10" s="2"/>
      <c r="GL10" s="2"/>
      <c r="GM10" s="2"/>
      <c r="GN10" s="2"/>
      <c r="GO10" s="2"/>
      <c r="GP10" s="2"/>
      <c r="GQ10" s="2"/>
      <c r="GR10" s="2"/>
      <c r="GS10" s="2"/>
      <c r="GT10" s="2"/>
      <c r="GU10" s="2"/>
      <c r="GV10" s="2"/>
      <c r="ZS10" s="1" t="s">
        <v>1691</v>
      </c>
      <c r="ZT10" s="1" t="s">
        <v>1171</v>
      </c>
      <c r="ZV10" s="1" t="s">
        <v>1176</v>
      </c>
      <c r="ZX10" s="1" t="s">
        <v>1156</v>
      </c>
      <c r="ABE10" s="1" t="s">
        <v>1173</v>
      </c>
      <c r="ABF10" s="1">
        <v>1</v>
      </c>
      <c r="ABG10" s="1">
        <v>0</v>
      </c>
      <c r="ABH10" s="1">
        <v>0</v>
      </c>
      <c r="ABI10" s="1">
        <v>0</v>
      </c>
      <c r="ABJ10" s="1">
        <v>0</v>
      </c>
      <c r="ABL10" s="1" t="s">
        <v>1177</v>
      </c>
      <c r="ABM10" s="1">
        <v>0</v>
      </c>
      <c r="ABN10" s="1">
        <v>0</v>
      </c>
      <c r="ABO10" s="1">
        <v>0</v>
      </c>
      <c r="ABP10" s="1">
        <v>0</v>
      </c>
      <c r="ABQ10" s="1">
        <v>0</v>
      </c>
      <c r="ABR10" s="1">
        <v>0</v>
      </c>
      <c r="ABS10" s="1">
        <v>0</v>
      </c>
      <c r="ABT10" s="1">
        <v>0</v>
      </c>
      <c r="ABU10" s="1">
        <v>0</v>
      </c>
      <c r="ABV10" s="1">
        <v>0</v>
      </c>
      <c r="ABW10" s="1">
        <v>0</v>
      </c>
      <c r="ABX10" s="1">
        <v>1</v>
      </c>
      <c r="ABZ10" s="1">
        <v>6</v>
      </c>
      <c r="ACA10" s="1" t="s">
        <v>1156</v>
      </c>
      <c r="ACB10" s="1">
        <v>3</v>
      </c>
      <c r="ACC10" s="1" t="s">
        <v>1155</v>
      </c>
      <c r="ACI10" s="1" t="s">
        <v>1155</v>
      </c>
      <c r="ACJ10" s="1" t="s">
        <v>1155</v>
      </c>
      <c r="ACM10" s="1" t="s">
        <v>1155</v>
      </c>
      <c r="ACN10" s="1">
        <v>245</v>
      </c>
      <c r="ACO10" s="1">
        <v>135</v>
      </c>
      <c r="ACP10" s="1">
        <v>110</v>
      </c>
      <c r="ACQ10" s="1">
        <v>110</v>
      </c>
      <c r="ACR10" s="1">
        <v>245</v>
      </c>
      <c r="ACT10" s="1">
        <v>6</v>
      </c>
      <c r="ACU10" s="1">
        <v>16</v>
      </c>
      <c r="ACV10" s="1" t="s">
        <v>1162</v>
      </c>
      <c r="ADK10" s="1"/>
      <c r="ADQ10" s="1">
        <v>1</v>
      </c>
      <c r="ADR10" s="1">
        <v>0</v>
      </c>
      <c r="ADS10" s="1">
        <v>1</v>
      </c>
      <c r="ADT10" s="1">
        <v>1</v>
      </c>
      <c r="ADU10" s="1">
        <v>1</v>
      </c>
      <c r="ADW10" s="1" t="s">
        <v>1155</v>
      </c>
      <c r="AEO10" s="1">
        <v>0</v>
      </c>
      <c r="AEP10" s="1">
        <v>0</v>
      </c>
      <c r="AEQ10" s="1">
        <v>0</v>
      </c>
      <c r="AER10" s="1">
        <v>0</v>
      </c>
      <c r="AES10" s="1">
        <v>0</v>
      </c>
      <c r="AEU10" s="1" t="s">
        <v>1156</v>
      </c>
      <c r="AEV10" s="1" t="s">
        <v>1157</v>
      </c>
      <c r="AEW10" s="1" t="s">
        <v>1401</v>
      </c>
      <c r="AEX10" s="1">
        <v>1</v>
      </c>
      <c r="AEY10" s="1">
        <v>0</v>
      </c>
      <c r="AEZ10" s="1">
        <v>0</v>
      </c>
      <c r="AFA10" s="1">
        <v>0</v>
      </c>
      <c r="AFB10" s="1">
        <v>0</v>
      </c>
      <c r="AFL10" s="1">
        <v>6</v>
      </c>
      <c r="AFM10" s="1">
        <v>0</v>
      </c>
      <c r="AFN10" s="1">
        <v>6</v>
      </c>
      <c r="AFO10" s="1">
        <v>6</v>
      </c>
      <c r="AFP10" s="1">
        <v>6</v>
      </c>
      <c r="AFR10" s="1" t="s">
        <v>1156</v>
      </c>
      <c r="AFS10" s="1" t="s">
        <v>1157</v>
      </c>
      <c r="AFT10" s="1" t="s">
        <v>1692</v>
      </c>
      <c r="AFU10" s="1">
        <v>1</v>
      </c>
      <c r="AFV10" s="1">
        <v>0</v>
      </c>
      <c r="AFW10" s="1">
        <v>0</v>
      </c>
      <c r="AFX10" s="1">
        <v>0</v>
      </c>
      <c r="AFY10" s="1">
        <v>0</v>
      </c>
      <c r="AGH10" s="1" t="s">
        <v>1174</v>
      </c>
      <c r="AGI10" s="1" t="s">
        <v>1174</v>
      </c>
      <c r="AGJ10" s="1" t="s">
        <v>1155</v>
      </c>
      <c r="AHQ10" s="1" t="s">
        <v>1164</v>
      </c>
      <c r="AHR10" s="1">
        <v>0</v>
      </c>
      <c r="AHS10" s="1">
        <v>0</v>
      </c>
      <c r="AHT10" s="1">
        <v>0</v>
      </c>
      <c r="AHU10" s="1">
        <v>0</v>
      </c>
      <c r="AHV10" s="1">
        <v>1</v>
      </c>
      <c r="AHX10" s="1" t="s">
        <v>1663</v>
      </c>
      <c r="AHY10" s="1">
        <v>1</v>
      </c>
      <c r="AHZ10" s="1">
        <v>1</v>
      </c>
      <c r="AIA10" s="1">
        <v>1</v>
      </c>
      <c r="AIB10" s="1">
        <v>1</v>
      </c>
      <c r="AIC10" s="1">
        <v>1</v>
      </c>
      <c r="AID10" s="1">
        <v>1</v>
      </c>
      <c r="AIE10" s="1">
        <v>1</v>
      </c>
      <c r="AIF10" s="57">
        <v>0</v>
      </c>
      <c r="AIG10" s="1">
        <v>0</v>
      </c>
      <c r="AIH10" s="1">
        <v>0</v>
      </c>
      <c r="AII10" s="1">
        <v>0</v>
      </c>
      <c r="AIK10" s="1" t="s">
        <v>1693</v>
      </c>
      <c r="AIL10" s="1">
        <v>0</v>
      </c>
      <c r="AIM10" s="1">
        <v>1</v>
      </c>
      <c r="AIN10" s="1">
        <v>0</v>
      </c>
      <c r="AIO10" s="1">
        <v>0</v>
      </c>
      <c r="AIP10" s="1">
        <v>0</v>
      </c>
      <c r="AIQ10" s="1">
        <v>0</v>
      </c>
      <c r="AIR10" s="1">
        <v>0</v>
      </c>
      <c r="AIS10" s="1">
        <v>0</v>
      </c>
      <c r="AIT10" s="1">
        <v>0</v>
      </c>
      <c r="AIU10" s="1">
        <v>0</v>
      </c>
      <c r="AIV10" s="1">
        <v>0</v>
      </c>
      <c r="AIW10" s="1">
        <v>0</v>
      </c>
      <c r="AIX10" s="1">
        <v>1</v>
      </c>
      <c r="AIZ10" s="1" t="s">
        <v>1156</v>
      </c>
      <c r="AJA10" s="1" t="s">
        <v>1158</v>
      </c>
      <c r="AJB10" s="1">
        <v>0</v>
      </c>
      <c r="AJC10" s="1">
        <v>0</v>
      </c>
      <c r="AJD10" s="1">
        <v>0</v>
      </c>
      <c r="AJE10" s="1">
        <v>0</v>
      </c>
      <c r="AJF10" s="1">
        <v>1</v>
      </c>
      <c r="AJG10" s="1">
        <v>0</v>
      </c>
      <c r="AJH10" s="1">
        <v>0</v>
      </c>
      <c r="AJJ10" s="1" t="s">
        <v>1694</v>
      </c>
      <c r="AJK10" s="1">
        <v>0</v>
      </c>
      <c r="AJL10" s="1">
        <v>0</v>
      </c>
      <c r="AJM10" s="1">
        <v>0</v>
      </c>
      <c r="AJN10" s="1">
        <v>0</v>
      </c>
      <c r="AJO10" s="1">
        <v>0</v>
      </c>
      <c r="AJP10" s="1">
        <v>0</v>
      </c>
      <c r="AJQ10" s="1">
        <v>1</v>
      </c>
      <c r="AJR10" s="1">
        <v>1</v>
      </c>
      <c r="AJS10" s="1">
        <v>0</v>
      </c>
      <c r="AJT10" s="1">
        <v>1</v>
      </c>
      <c r="AJU10" s="1">
        <v>0</v>
      </c>
      <c r="AJV10" s="1">
        <v>0</v>
      </c>
      <c r="AJX10" s="1" t="s">
        <v>1156</v>
      </c>
      <c r="AKF10" s="1" t="s">
        <v>1528</v>
      </c>
      <c r="AKG10" s="1">
        <v>1</v>
      </c>
      <c r="AKH10" s="1">
        <v>1</v>
      </c>
      <c r="AKI10" s="1">
        <v>1</v>
      </c>
      <c r="AKJ10" s="1">
        <v>1</v>
      </c>
      <c r="AKK10" s="1">
        <v>1</v>
      </c>
      <c r="AKL10" s="1">
        <v>1</v>
      </c>
      <c r="AKM10" s="1">
        <v>1</v>
      </c>
      <c r="AKN10" s="1">
        <v>1</v>
      </c>
      <c r="AKO10" s="1">
        <v>1</v>
      </c>
      <c r="AKP10" s="1">
        <v>1</v>
      </c>
      <c r="AKQ10" s="1">
        <v>0</v>
      </c>
      <c r="AKR10" s="1">
        <v>0</v>
      </c>
      <c r="ANP10" s="1"/>
      <c r="ARD10" s="85"/>
      <c r="ARK10" s="1"/>
      <c r="ASR10" s="2"/>
      <c r="ASS10" s="2"/>
      <c r="ASV10" s="2"/>
      <c r="ASW10" s="2"/>
      <c r="ASX10" s="2"/>
      <c r="ASY10" s="2"/>
      <c r="ASZ10" s="2"/>
      <c r="ATA10" s="2"/>
      <c r="ATB10" s="2"/>
      <c r="ATC10" s="2"/>
      <c r="ATD10" s="2"/>
      <c r="ATE10" s="2"/>
      <c r="ATF10" s="2"/>
      <c r="ATG10" s="2"/>
      <c r="ATH10" s="2"/>
      <c r="ATK10" s="2"/>
      <c r="ATL10" s="2"/>
      <c r="ATM10" s="2"/>
      <c r="ATN10" s="2"/>
      <c r="ATO10" s="2"/>
      <c r="ATP10" s="2"/>
      <c r="ATQ10" s="2"/>
      <c r="ATR10" s="2"/>
      <c r="ATS10" s="2"/>
      <c r="ATT10" s="2"/>
      <c r="ATU10" s="2"/>
      <c r="ATV10" s="2"/>
      <c r="ATW10" s="2"/>
      <c r="ATX10" s="2"/>
      <c r="ATY10" s="2"/>
      <c r="ATZ10" s="2"/>
      <c r="AUA10" s="2"/>
      <c r="AVH10" s="2"/>
      <c r="AVI10" s="2"/>
      <c r="AVJ10" s="2"/>
      <c r="AVK10" s="2"/>
      <c r="AVL10" s="2"/>
      <c r="AVM10" s="2"/>
      <c r="AVN10" s="2"/>
      <c r="AVO10" s="2"/>
      <c r="AVP10" s="2"/>
      <c r="AVT10" s="1">
        <v>130991422</v>
      </c>
      <c r="AVU10" s="1" t="s">
        <v>1757</v>
      </c>
      <c r="AVW10" s="1">
        <v>133</v>
      </c>
    </row>
    <row r="11" spans="1:1271" x14ac:dyDescent="0.3">
      <c r="A11" s="1" t="s">
        <v>1654</v>
      </c>
      <c r="B11" s="1" t="s">
        <v>1655</v>
      </c>
      <c r="C11" s="1" t="s">
        <v>1656</v>
      </c>
      <c r="D11" s="1" t="s">
        <v>1657</v>
      </c>
      <c r="E11" s="1" t="s">
        <v>1658</v>
      </c>
      <c r="F11" s="1" t="s">
        <v>1657</v>
      </c>
      <c r="H11" s="2"/>
      <c r="I11" s="1" t="s">
        <v>1659</v>
      </c>
      <c r="J11" s="1" t="s">
        <v>1660</v>
      </c>
      <c r="K11" s="1" t="s">
        <v>1660</v>
      </c>
      <c r="N11" s="1" t="s">
        <v>1170</v>
      </c>
      <c r="O11" s="2">
        <v>0</v>
      </c>
      <c r="P11" s="2">
        <v>0</v>
      </c>
      <c r="Q11" s="2">
        <v>1</v>
      </c>
      <c r="R11" s="2">
        <v>0</v>
      </c>
      <c r="S11" s="2">
        <v>0</v>
      </c>
      <c r="AC11" s="2"/>
      <c r="AD11" s="2"/>
      <c r="AE11" s="58"/>
      <c r="AF11" s="58"/>
      <c r="AG11" s="58"/>
      <c r="AH11" s="58"/>
      <c r="AI11" s="58"/>
      <c r="AJ11" s="58"/>
      <c r="AK11" s="2"/>
      <c r="BP11" s="2"/>
      <c r="BQ11" s="2"/>
      <c r="BR11" s="2"/>
      <c r="BS11" s="2"/>
      <c r="BT11" s="2"/>
      <c r="BU11" s="2"/>
      <c r="BV11" s="2"/>
      <c r="BW11" s="2"/>
      <c r="BX11" s="2"/>
      <c r="BY11" s="2"/>
      <c r="BZ11" s="2"/>
      <c r="CA11" s="2"/>
      <c r="GJ11" s="2"/>
      <c r="GK11" s="2"/>
      <c r="GL11" s="2"/>
      <c r="GM11" s="2"/>
      <c r="GN11" s="2"/>
      <c r="GO11" s="2"/>
      <c r="GP11" s="2"/>
      <c r="GQ11" s="2"/>
      <c r="GR11" s="2"/>
      <c r="GS11" s="2"/>
      <c r="GT11" s="2"/>
      <c r="GU11" s="2"/>
      <c r="GV11" s="2"/>
      <c r="ZS11" s="1" t="s">
        <v>1989</v>
      </c>
      <c r="ZT11" s="1" t="s">
        <v>1171</v>
      </c>
      <c r="ZV11" s="1" t="s">
        <v>1172</v>
      </c>
      <c r="ZX11" s="1" t="s">
        <v>1156</v>
      </c>
      <c r="ABE11" s="1" t="s">
        <v>1173</v>
      </c>
      <c r="ABF11" s="1">
        <v>1</v>
      </c>
      <c r="ABG11" s="1">
        <v>0</v>
      </c>
      <c r="ABH11" s="1">
        <v>0</v>
      </c>
      <c r="ABI11" s="1">
        <v>0</v>
      </c>
      <c r="ABJ11" s="1">
        <v>0</v>
      </c>
      <c r="ABL11" s="1" t="s">
        <v>1154</v>
      </c>
      <c r="ABM11" s="1">
        <v>0</v>
      </c>
      <c r="ABN11" s="1">
        <v>0</v>
      </c>
      <c r="ABO11" s="1">
        <v>0</v>
      </c>
      <c r="ABP11" s="1">
        <v>0</v>
      </c>
      <c r="ABQ11" s="1">
        <v>0</v>
      </c>
      <c r="ABR11" s="1">
        <v>0</v>
      </c>
      <c r="ABS11" s="1">
        <v>0</v>
      </c>
      <c r="ABT11" s="1">
        <v>0</v>
      </c>
      <c r="ABU11" s="1">
        <v>1</v>
      </c>
      <c r="ABV11" s="1">
        <v>0</v>
      </c>
      <c r="ABW11" s="1">
        <v>0</v>
      </c>
      <c r="ABX11" s="1">
        <v>0</v>
      </c>
      <c r="ABY11" s="1" t="s">
        <v>1661</v>
      </c>
      <c r="ABZ11" s="1">
        <v>2</v>
      </c>
      <c r="ACA11" s="1" t="s">
        <v>1156</v>
      </c>
      <c r="ACB11" s="1">
        <v>3</v>
      </c>
      <c r="ACC11" s="1" t="s">
        <v>1156</v>
      </c>
      <c r="ACD11" s="1">
        <v>1</v>
      </c>
      <c r="ACE11" s="1">
        <v>2</v>
      </c>
      <c r="ACF11" s="1">
        <v>1</v>
      </c>
      <c r="ACG11" s="1">
        <v>2</v>
      </c>
      <c r="ACI11" s="1" t="s">
        <v>1156</v>
      </c>
      <c r="ACJ11" s="1" t="s">
        <v>1155</v>
      </c>
      <c r="ACM11" s="1" t="s">
        <v>1155</v>
      </c>
      <c r="ACN11" s="1">
        <v>520</v>
      </c>
      <c r="ACO11" s="1">
        <v>254</v>
      </c>
      <c r="ACP11" s="1">
        <v>266</v>
      </c>
      <c r="ACQ11" s="1">
        <v>266</v>
      </c>
      <c r="ACR11" s="1">
        <v>520</v>
      </c>
      <c r="ACT11" s="1">
        <v>7</v>
      </c>
      <c r="ACU11" s="1">
        <v>18</v>
      </c>
      <c r="ACV11" s="1" t="s">
        <v>1156</v>
      </c>
      <c r="ACW11" s="1" t="s">
        <v>1157</v>
      </c>
      <c r="ACX11" s="1" t="s">
        <v>1662</v>
      </c>
      <c r="ACY11" s="1">
        <v>0</v>
      </c>
      <c r="ACZ11" s="1">
        <v>0</v>
      </c>
      <c r="ADA11" s="1">
        <v>0</v>
      </c>
      <c r="ADB11" s="1">
        <v>1</v>
      </c>
      <c r="ADC11" s="1">
        <v>0</v>
      </c>
      <c r="ADD11" s="1">
        <v>0</v>
      </c>
      <c r="ADE11" s="1">
        <v>0</v>
      </c>
      <c r="ADK11" s="1"/>
      <c r="ADQ11" s="1">
        <v>0</v>
      </c>
      <c r="ADR11" s="1">
        <v>0</v>
      </c>
      <c r="ADS11" s="1">
        <v>0</v>
      </c>
      <c r="ADT11" s="1">
        <v>0</v>
      </c>
      <c r="ADU11" s="1">
        <v>0</v>
      </c>
      <c r="ADW11" s="1" t="s">
        <v>1155</v>
      </c>
      <c r="AEO11" s="1">
        <v>0</v>
      </c>
      <c r="AEP11" s="1">
        <v>0</v>
      </c>
      <c r="AEQ11" s="1">
        <v>0</v>
      </c>
      <c r="AER11" s="1">
        <v>0</v>
      </c>
      <c r="AES11" s="1">
        <v>0</v>
      </c>
      <c r="AEU11" s="1" t="s">
        <v>1155</v>
      </c>
      <c r="AFL11" s="1">
        <v>6</v>
      </c>
      <c r="AFM11" s="1">
        <v>0</v>
      </c>
      <c r="AFN11" s="1">
        <v>6</v>
      </c>
      <c r="AFO11" s="1">
        <v>6</v>
      </c>
      <c r="AFP11" s="1">
        <v>6</v>
      </c>
      <c r="AFR11" s="1" t="s">
        <v>1155</v>
      </c>
      <c r="AGH11" s="1" t="s">
        <v>1174</v>
      </c>
      <c r="AGI11" s="1" t="s">
        <v>1174</v>
      </c>
      <c r="AGJ11" s="1" t="s">
        <v>1155</v>
      </c>
      <c r="AHQ11" s="1" t="s">
        <v>1164</v>
      </c>
      <c r="AHR11" s="1">
        <v>0</v>
      </c>
      <c r="AHS11" s="1">
        <v>0</v>
      </c>
      <c r="AHT11" s="1">
        <v>0</v>
      </c>
      <c r="AHU11" s="1">
        <v>0</v>
      </c>
      <c r="AHV11" s="1">
        <v>1</v>
      </c>
      <c r="AHX11" s="1" t="s">
        <v>1663</v>
      </c>
      <c r="AHY11" s="1">
        <v>1</v>
      </c>
      <c r="AHZ11" s="1">
        <v>1</v>
      </c>
      <c r="AIA11" s="1">
        <v>1</v>
      </c>
      <c r="AIB11" s="1">
        <v>1</v>
      </c>
      <c r="AIC11" s="1">
        <v>1</v>
      </c>
      <c r="AID11" s="1">
        <v>1</v>
      </c>
      <c r="AIE11" s="1">
        <v>1</v>
      </c>
      <c r="AIF11" s="57">
        <v>0</v>
      </c>
      <c r="AIG11" s="1">
        <v>0</v>
      </c>
      <c r="AIH11" s="1">
        <v>0</v>
      </c>
      <c r="AII11" s="1">
        <v>0</v>
      </c>
      <c r="AIK11" s="1" t="s">
        <v>1984</v>
      </c>
      <c r="AIL11" s="1">
        <v>0</v>
      </c>
      <c r="AIM11" s="1">
        <v>0</v>
      </c>
      <c r="AIN11" s="1">
        <v>0</v>
      </c>
      <c r="AIO11" s="1">
        <v>0</v>
      </c>
      <c r="AIP11" s="1">
        <v>0</v>
      </c>
      <c r="AIQ11" s="1">
        <v>0</v>
      </c>
      <c r="AIR11" s="1">
        <v>1</v>
      </c>
      <c r="AIS11" s="1">
        <v>0</v>
      </c>
      <c r="AIT11" s="1">
        <v>0</v>
      </c>
      <c r="AIU11" s="1">
        <v>0</v>
      </c>
      <c r="AIV11" s="1">
        <v>0</v>
      </c>
      <c r="AIW11" s="1">
        <v>0</v>
      </c>
      <c r="AIX11" s="1">
        <v>0</v>
      </c>
      <c r="AIZ11" s="1" t="s">
        <v>1156</v>
      </c>
      <c r="AJA11" s="1" t="s">
        <v>1158</v>
      </c>
      <c r="AJB11" s="1">
        <v>0</v>
      </c>
      <c r="AJC11" s="1">
        <v>0</v>
      </c>
      <c r="AJD11" s="1">
        <v>0</v>
      </c>
      <c r="AJE11" s="1">
        <v>0</v>
      </c>
      <c r="AJF11" s="1">
        <v>1</v>
      </c>
      <c r="AJG11" s="1">
        <v>0</v>
      </c>
      <c r="AJH11" s="1">
        <v>0</v>
      </c>
      <c r="AJJ11" s="1" t="s">
        <v>1664</v>
      </c>
      <c r="AJK11" s="1">
        <v>0</v>
      </c>
      <c r="AJL11" s="1">
        <v>0</v>
      </c>
      <c r="AJM11" s="1">
        <v>1</v>
      </c>
      <c r="AJN11" s="1">
        <v>0</v>
      </c>
      <c r="AJO11" s="1">
        <v>0</v>
      </c>
      <c r="AJP11" s="1">
        <v>1</v>
      </c>
      <c r="AJQ11" s="1">
        <v>1</v>
      </c>
      <c r="AJR11" s="1">
        <v>1</v>
      </c>
      <c r="AJS11" s="1">
        <v>0</v>
      </c>
      <c r="AJT11" s="1">
        <v>1</v>
      </c>
      <c r="AJU11" s="1">
        <v>0</v>
      </c>
      <c r="AJV11" s="1">
        <v>0</v>
      </c>
      <c r="AJX11" s="1" t="s">
        <v>1156</v>
      </c>
      <c r="AKF11" s="1" t="s">
        <v>1665</v>
      </c>
      <c r="AKG11" s="1">
        <v>1</v>
      </c>
      <c r="AKH11" s="1">
        <v>0</v>
      </c>
      <c r="AKI11" s="1">
        <v>1</v>
      </c>
      <c r="AKJ11" s="1">
        <v>1</v>
      </c>
      <c r="AKK11" s="1">
        <v>0</v>
      </c>
      <c r="AKL11" s="1">
        <v>1</v>
      </c>
      <c r="AKM11" s="1">
        <v>1</v>
      </c>
      <c r="AKN11" s="1">
        <v>1</v>
      </c>
      <c r="AKO11" s="1">
        <v>1</v>
      </c>
      <c r="AKP11" s="1">
        <v>1</v>
      </c>
      <c r="AKQ11" s="1">
        <v>0</v>
      </c>
      <c r="AKR11" s="1">
        <v>0</v>
      </c>
      <c r="ANP11" s="1"/>
      <c r="ARD11" s="85"/>
      <c r="ARK11" s="1"/>
      <c r="AVT11" s="1">
        <v>130991472</v>
      </c>
      <c r="AVU11" s="1" t="s">
        <v>1771</v>
      </c>
      <c r="AVW11" s="1">
        <v>134</v>
      </c>
    </row>
    <row r="12" spans="1:1271" x14ac:dyDescent="0.3">
      <c r="A12" s="1" t="s">
        <v>1675</v>
      </c>
      <c r="B12" s="1" t="s">
        <v>1676</v>
      </c>
      <c r="C12" s="1" t="s">
        <v>1677</v>
      </c>
      <c r="D12" s="1" t="s">
        <v>1657</v>
      </c>
      <c r="E12" s="1" t="s">
        <v>1658</v>
      </c>
      <c r="F12" s="1" t="s">
        <v>1657</v>
      </c>
      <c r="H12" s="2"/>
      <c r="I12" s="1" t="s">
        <v>1659</v>
      </c>
      <c r="J12" s="1" t="s">
        <v>1660</v>
      </c>
      <c r="K12" s="1" t="s">
        <v>1660</v>
      </c>
      <c r="N12" s="1" t="s">
        <v>1170</v>
      </c>
      <c r="O12" s="2">
        <v>0</v>
      </c>
      <c r="P12" s="2">
        <v>0</v>
      </c>
      <c r="Q12" s="2">
        <v>1</v>
      </c>
      <c r="R12" s="2">
        <v>0</v>
      </c>
      <c r="S12" s="2">
        <v>0</v>
      </c>
      <c r="AC12" s="2"/>
      <c r="AD12" s="2"/>
      <c r="AE12" s="58"/>
      <c r="AF12" s="58"/>
      <c r="AG12" s="58"/>
      <c r="AH12" s="58"/>
      <c r="AI12" s="58"/>
      <c r="AJ12" s="58"/>
      <c r="AK12" s="2"/>
      <c r="BP12" s="2"/>
      <c r="BQ12" s="2"/>
      <c r="BR12" s="2"/>
      <c r="BS12" s="2"/>
      <c r="BT12" s="2"/>
      <c r="BU12" s="2"/>
      <c r="BV12" s="2"/>
      <c r="BW12" s="2"/>
      <c r="BX12" s="2"/>
      <c r="BY12" s="2"/>
      <c r="BZ12" s="2"/>
      <c r="CA12" s="2"/>
      <c r="GJ12" s="2"/>
      <c r="GK12" s="2"/>
      <c r="GL12" s="2"/>
      <c r="GM12" s="2"/>
      <c r="GN12" s="2"/>
      <c r="GO12" s="2"/>
      <c r="GP12" s="2"/>
      <c r="GQ12" s="2"/>
      <c r="GR12" s="2"/>
      <c r="GS12" s="2"/>
      <c r="GT12" s="2"/>
      <c r="GU12" s="2"/>
      <c r="GV12" s="2"/>
      <c r="ZS12" s="1" t="s">
        <v>1678</v>
      </c>
      <c r="ZT12" s="1" t="s">
        <v>1177</v>
      </c>
      <c r="ZV12" s="1" t="s">
        <v>1179</v>
      </c>
      <c r="ZX12" s="1" t="s">
        <v>1156</v>
      </c>
      <c r="ABE12" s="1" t="s">
        <v>1181</v>
      </c>
      <c r="ABF12" s="1">
        <v>0</v>
      </c>
      <c r="ABG12" s="1">
        <v>0</v>
      </c>
      <c r="ABH12" s="1">
        <v>0</v>
      </c>
      <c r="ABI12" s="1">
        <v>1</v>
      </c>
      <c r="ABJ12" s="1">
        <v>0</v>
      </c>
      <c r="ABL12" s="1" t="s">
        <v>1679</v>
      </c>
      <c r="ABM12" s="1">
        <v>0</v>
      </c>
      <c r="ABN12" s="1">
        <v>0</v>
      </c>
      <c r="ABO12" s="1">
        <v>1</v>
      </c>
      <c r="ABP12" s="1">
        <v>0</v>
      </c>
      <c r="ABQ12" s="1">
        <v>0</v>
      </c>
      <c r="ABR12" s="1">
        <v>0</v>
      </c>
      <c r="ABS12" s="1">
        <v>0</v>
      </c>
      <c r="ABT12" s="1">
        <v>0</v>
      </c>
      <c r="ABU12" s="1">
        <v>0</v>
      </c>
      <c r="ABV12" s="1">
        <v>0</v>
      </c>
      <c r="ABW12" s="1">
        <v>0</v>
      </c>
      <c r="ABX12" s="1">
        <v>1</v>
      </c>
      <c r="ABZ12" s="1">
        <v>1</v>
      </c>
      <c r="ACA12" s="1" t="s">
        <v>1155</v>
      </c>
      <c r="ACJ12" s="1" t="s">
        <v>1155</v>
      </c>
      <c r="ACM12" s="1" t="s">
        <v>1155</v>
      </c>
      <c r="ACN12" s="1">
        <v>95</v>
      </c>
      <c r="ACO12" s="1">
        <v>42</v>
      </c>
      <c r="ACP12" s="1">
        <v>53</v>
      </c>
      <c r="ACQ12" s="1">
        <v>53</v>
      </c>
      <c r="ACR12" s="1">
        <v>95</v>
      </c>
      <c r="ACT12" s="1">
        <v>5</v>
      </c>
      <c r="ACU12" s="1">
        <v>14</v>
      </c>
      <c r="ACV12" s="1" t="s">
        <v>1156</v>
      </c>
      <c r="ACW12" s="1" t="s">
        <v>1157</v>
      </c>
      <c r="ACX12" s="1" t="s">
        <v>1662</v>
      </c>
      <c r="ACY12" s="1">
        <v>0</v>
      </c>
      <c r="ACZ12" s="1">
        <v>0</v>
      </c>
      <c r="ADA12" s="1">
        <v>0</v>
      </c>
      <c r="ADB12" s="1">
        <v>1</v>
      </c>
      <c r="ADC12" s="1">
        <v>0</v>
      </c>
      <c r="ADD12" s="1">
        <v>0</v>
      </c>
      <c r="ADE12" s="1">
        <v>0</v>
      </c>
      <c r="ADK12" s="1"/>
      <c r="ADQ12" s="1">
        <v>0</v>
      </c>
      <c r="ADR12" s="1">
        <v>0</v>
      </c>
      <c r="ADS12" s="1">
        <v>0</v>
      </c>
      <c r="ADT12" s="1">
        <v>0</v>
      </c>
      <c r="ADU12" s="1">
        <v>0</v>
      </c>
      <c r="ADW12" s="1" t="s">
        <v>1156</v>
      </c>
      <c r="ADX12" s="1" t="s">
        <v>1161</v>
      </c>
      <c r="AEG12" s="1" t="s">
        <v>1680</v>
      </c>
      <c r="AEH12" s="1">
        <v>1</v>
      </c>
      <c r="AEI12" s="1">
        <v>0</v>
      </c>
      <c r="AEJ12" s="1">
        <v>0</v>
      </c>
      <c r="AEK12" s="1">
        <v>0</v>
      </c>
      <c r="AEL12" s="1">
        <v>0</v>
      </c>
      <c r="AEM12" s="1">
        <v>1</v>
      </c>
      <c r="AEN12" s="1" t="s">
        <v>1681</v>
      </c>
      <c r="AEO12" s="1">
        <v>0</v>
      </c>
      <c r="AEP12" s="1">
        <v>0</v>
      </c>
      <c r="AEQ12" s="1">
        <v>0</v>
      </c>
      <c r="AER12" s="1">
        <v>0</v>
      </c>
      <c r="AES12" s="1">
        <v>0</v>
      </c>
      <c r="AEU12" s="1" t="s">
        <v>1155</v>
      </c>
      <c r="AFL12" s="1">
        <v>6</v>
      </c>
      <c r="AFM12" s="1">
        <v>2</v>
      </c>
      <c r="AFN12" s="1">
        <v>4</v>
      </c>
      <c r="AFO12" s="1">
        <v>4</v>
      </c>
      <c r="AFP12" s="1">
        <v>6</v>
      </c>
      <c r="AFR12" s="1" t="s">
        <v>1156</v>
      </c>
      <c r="AFS12" s="1" t="s">
        <v>1161</v>
      </c>
      <c r="AGA12" s="1" t="s">
        <v>1682</v>
      </c>
      <c r="AGB12" s="1">
        <v>0</v>
      </c>
      <c r="AGC12" s="1">
        <v>1</v>
      </c>
      <c r="AGD12" s="1">
        <v>0</v>
      </c>
      <c r="AGE12" s="1">
        <v>0</v>
      </c>
      <c r="AGF12" s="1">
        <v>0</v>
      </c>
      <c r="AGH12" s="1" t="s">
        <v>1174</v>
      </c>
      <c r="AGI12" s="1" t="s">
        <v>1187</v>
      </c>
      <c r="AGJ12" s="1" t="s">
        <v>1155</v>
      </c>
      <c r="AHQ12" s="1" t="s">
        <v>1397</v>
      </c>
      <c r="AHR12" s="1">
        <v>1</v>
      </c>
      <c r="AHS12" s="1">
        <v>0</v>
      </c>
      <c r="AHT12" s="1">
        <v>0</v>
      </c>
      <c r="AHU12" s="1">
        <v>0</v>
      </c>
      <c r="AHV12" s="1">
        <v>0</v>
      </c>
      <c r="AHX12" s="1" t="s">
        <v>1683</v>
      </c>
      <c r="AHY12" s="1">
        <v>1</v>
      </c>
      <c r="AHZ12" s="1">
        <v>1</v>
      </c>
      <c r="AIA12" s="1">
        <v>1</v>
      </c>
      <c r="AIB12" s="1">
        <v>1</v>
      </c>
      <c r="AIC12" s="1">
        <v>1</v>
      </c>
      <c r="AID12" s="1">
        <v>1</v>
      </c>
      <c r="AIE12" s="1">
        <v>1</v>
      </c>
      <c r="AIF12" s="57">
        <v>0</v>
      </c>
      <c r="AIG12" s="1">
        <v>0</v>
      </c>
      <c r="AIH12" s="1">
        <v>0</v>
      </c>
      <c r="AII12" s="1">
        <v>0</v>
      </c>
      <c r="AIK12" s="1" t="s">
        <v>1684</v>
      </c>
      <c r="AIL12" s="1">
        <v>0</v>
      </c>
      <c r="AIM12" s="1">
        <v>0</v>
      </c>
      <c r="AIN12" s="1">
        <v>0</v>
      </c>
      <c r="AIO12" s="1">
        <v>0</v>
      </c>
      <c r="AIP12" s="1">
        <v>0</v>
      </c>
      <c r="AIQ12" s="1">
        <v>0</v>
      </c>
      <c r="AIR12" s="1">
        <v>0</v>
      </c>
      <c r="AIS12" s="1">
        <v>0</v>
      </c>
      <c r="AIT12" s="1">
        <v>1</v>
      </c>
      <c r="AIU12" s="1">
        <v>0</v>
      </c>
      <c r="AIV12" s="1">
        <v>0</v>
      </c>
      <c r="AIW12" s="1">
        <v>0</v>
      </c>
      <c r="AIX12" s="1">
        <v>1</v>
      </c>
      <c r="AIZ12" s="1" t="s">
        <v>1155</v>
      </c>
      <c r="AKF12" s="1" t="s">
        <v>1665</v>
      </c>
      <c r="AKG12" s="1">
        <v>1</v>
      </c>
      <c r="AKH12" s="1">
        <v>0</v>
      </c>
      <c r="AKI12" s="1">
        <v>1</v>
      </c>
      <c r="AKJ12" s="1">
        <v>1</v>
      </c>
      <c r="AKK12" s="1">
        <v>0</v>
      </c>
      <c r="AKL12" s="1">
        <v>1</v>
      </c>
      <c r="AKM12" s="1">
        <v>1</v>
      </c>
      <c r="AKN12" s="1">
        <v>1</v>
      </c>
      <c r="AKO12" s="1">
        <v>1</v>
      </c>
      <c r="AKP12" s="1">
        <v>1</v>
      </c>
      <c r="AKQ12" s="1">
        <v>0</v>
      </c>
      <c r="AKR12" s="1">
        <v>0</v>
      </c>
      <c r="ANP12" s="1"/>
      <c r="ARD12" s="85"/>
      <c r="ARK12" s="1"/>
      <c r="ASR12" s="2"/>
      <c r="ASS12" s="2"/>
      <c r="ASV12" s="2"/>
      <c r="ASW12" s="2"/>
      <c r="ASX12" s="2"/>
      <c r="ASY12" s="2"/>
      <c r="ASZ12" s="2"/>
      <c r="ATA12" s="2"/>
      <c r="ATB12" s="2"/>
      <c r="ATC12" s="2"/>
      <c r="ATD12" s="2"/>
      <c r="ATE12" s="2"/>
      <c r="ATF12" s="2"/>
      <c r="ATG12" s="2"/>
      <c r="ATH12" s="2"/>
      <c r="ATK12" s="2"/>
      <c r="ATL12" s="2"/>
      <c r="ATM12" s="2"/>
      <c r="ATN12" s="2"/>
      <c r="ATO12" s="2"/>
      <c r="ATP12" s="2"/>
      <c r="ATQ12" s="2"/>
      <c r="ATR12" s="2"/>
      <c r="ATS12" s="2"/>
      <c r="ATT12" s="2"/>
      <c r="ATU12" s="2"/>
      <c r="ATV12" s="2"/>
      <c r="ATW12" s="2"/>
      <c r="ATX12" s="2"/>
      <c r="ATY12" s="2"/>
      <c r="ATZ12" s="2"/>
      <c r="AUA12" s="2"/>
      <c r="AVH12" s="2"/>
      <c r="AVI12" s="2"/>
      <c r="AVJ12" s="2"/>
      <c r="AVK12" s="2"/>
      <c r="AVL12" s="2"/>
      <c r="AVM12" s="2"/>
      <c r="AVN12" s="2"/>
      <c r="AVO12" s="2"/>
      <c r="AVP12" s="2"/>
      <c r="AVT12" s="1">
        <v>130991620</v>
      </c>
      <c r="AVU12" s="1" t="s">
        <v>1777</v>
      </c>
      <c r="AVW12" s="1">
        <v>135</v>
      </c>
    </row>
    <row r="13" spans="1:1271" x14ac:dyDescent="0.3">
      <c r="A13" s="1" t="s">
        <v>1667</v>
      </c>
      <c r="B13" s="1" t="s">
        <v>1668</v>
      </c>
      <c r="C13" s="1" t="s">
        <v>1669</v>
      </c>
      <c r="D13" s="1" t="s">
        <v>1657</v>
      </c>
      <c r="E13" s="1" t="s">
        <v>1658</v>
      </c>
      <c r="F13" s="1" t="s">
        <v>1657</v>
      </c>
      <c r="H13" s="2"/>
      <c r="I13" s="1" t="s">
        <v>1659</v>
      </c>
      <c r="J13" s="1" t="s">
        <v>1660</v>
      </c>
      <c r="K13" s="1" t="s">
        <v>1660</v>
      </c>
      <c r="N13" s="1" t="s">
        <v>1170</v>
      </c>
      <c r="O13" s="2">
        <v>0</v>
      </c>
      <c r="P13" s="2">
        <v>0</v>
      </c>
      <c r="Q13" s="2">
        <v>1</v>
      </c>
      <c r="R13" s="2">
        <v>0</v>
      </c>
      <c r="S13" s="2">
        <v>0</v>
      </c>
      <c r="AC13" s="2"/>
      <c r="AD13" s="2"/>
      <c r="AE13" s="58"/>
      <c r="AF13" s="58"/>
      <c r="AG13" s="58"/>
      <c r="AH13" s="58"/>
      <c r="AI13" s="58"/>
      <c r="AJ13" s="58"/>
      <c r="AK13" s="2"/>
      <c r="BP13" s="2"/>
      <c r="BQ13" s="2"/>
      <c r="BR13" s="2"/>
      <c r="BS13" s="2"/>
      <c r="BT13" s="2"/>
      <c r="BU13" s="2"/>
      <c r="BV13" s="2"/>
      <c r="BW13" s="2"/>
      <c r="BX13" s="2"/>
      <c r="BY13" s="2"/>
      <c r="BZ13" s="2"/>
      <c r="CA13" s="2"/>
      <c r="GJ13" s="2"/>
      <c r="GK13" s="2"/>
      <c r="GL13" s="2"/>
      <c r="GM13" s="2"/>
      <c r="GN13" s="2"/>
      <c r="GO13" s="2"/>
      <c r="GP13" s="2"/>
      <c r="GQ13" s="2"/>
      <c r="GR13" s="2"/>
      <c r="GS13" s="2"/>
      <c r="GT13" s="2"/>
      <c r="GU13" s="2"/>
      <c r="GV13" s="2"/>
      <c r="ZS13" s="1" t="s">
        <v>1670</v>
      </c>
      <c r="ZT13" s="1" t="s">
        <v>1177</v>
      </c>
      <c r="ZV13" s="1" t="s">
        <v>1172</v>
      </c>
      <c r="ZX13" s="1" t="s">
        <v>1155</v>
      </c>
      <c r="AAJ13" s="1" t="s">
        <v>1193</v>
      </c>
      <c r="AAK13" s="1">
        <v>0</v>
      </c>
      <c r="AAL13" s="1">
        <v>0</v>
      </c>
      <c r="AAM13" s="1">
        <v>0</v>
      </c>
      <c r="AAN13" s="1">
        <v>0</v>
      </c>
      <c r="AAO13" s="1">
        <v>0</v>
      </c>
      <c r="AAP13" s="1">
        <v>1</v>
      </c>
      <c r="AAQ13" s="1">
        <v>0</v>
      </c>
      <c r="AAR13" s="1">
        <v>0</v>
      </c>
      <c r="AAS13" s="1">
        <v>0</v>
      </c>
      <c r="AAU13" s="1" t="s">
        <v>1671</v>
      </c>
      <c r="ABE13" s="1" t="s">
        <v>1185</v>
      </c>
      <c r="ABF13" s="1">
        <v>0</v>
      </c>
      <c r="ABG13" s="1">
        <v>1</v>
      </c>
      <c r="ABH13" s="1">
        <v>0</v>
      </c>
      <c r="ABI13" s="1">
        <v>0</v>
      </c>
      <c r="ABJ13" s="1">
        <v>0</v>
      </c>
      <c r="ABL13" s="1" t="s">
        <v>1154</v>
      </c>
      <c r="ABM13" s="1">
        <v>0</v>
      </c>
      <c r="ABN13" s="1">
        <v>0</v>
      </c>
      <c r="ABO13" s="1">
        <v>0</v>
      </c>
      <c r="ABP13" s="1">
        <v>0</v>
      </c>
      <c r="ABQ13" s="1">
        <v>0</v>
      </c>
      <c r="ABR13" s="1">
        <v>0</v>
      </c>
      <c r="ABS13" s="1">
        <v>0</v>
      </c>
      <c r="ABT13" s="1">
        <v>0</v>
      </c>
      <c r="ABU13" s="1">
        <v>1</v>
      </c>
      <c r="ABV13" s="1">
        <v>0</v>
      </c>
      <c r="ABW13" s="1">
        <v>0</v>
      </c>
      <c r="ABX13" s="1">
        <v>0</v>
      </c>
      <c r="ABY13" s="1" t="s">
        <v>1672</v>
      </c>
      <c r="ABZ13" s="1">
        <v>2</v>
      </c>
      <c r="ACA13" s="1" t="s">
        <v>1156</v>
      </c>
      <c r="ACB13" s="1">
        <v>3</v>
      </c>
      <c r="ACC13" s="1" t="s">
        <v>1155</v>
      </c>
      <c r="ACI13" s="1" t="s">
        <v>1156</v>
      </c>
      <c r="ACJ13" s="1" t="s">
        <v>1155</v>
      </c>
      <c r="ADK13" s="1"/>
      <c r="AIS13" s="1"/>
      <c r="AIZ13" s="1" t="s">
        <v>1155</v>
      </c>
      <c r="AKF13" s="1" t="s">
        <v>1673</v>
      </c>
      <c r="AKG13" s="1">
        <v>1</v>
      </c>
      <c r="AKH13" s="1">
        <v>0</v>
      </c>
      <c r="AKI13" s="1">
        <v>1</v>
      </c>
      <c r="AKJ13" s="1">
        <v>1</v>
      </c>
      <c r="AKK13" s="1">
        <v>1</v>
      </c>
      <c r="AKL13" s="1">
        <v>1</v>
      </c>
      <c r="AKM13" s="1">
        <v>1</v>
      </c>
      <c r="AKN13" s="1">
        <v>0</v>
      </c>
      <c r="AKO13" s="1">
        <v>0</v>
      </c>
      <c r="AKP13" s="1">
        <v>0</v>
      </c>
      <c r="AKQ13" s="1">
        <v>0</v>
      </c>
      <c r="AKR13" s="1">
        <v>0</v>
      </c>
      <c r="ANP13" s="1"/>
      <c r="ARD13" s="85"/>
      <c r="ARK13" s="1"/>
      <c r="AVT13" s="1">
        <v>130991635</v>
      </c>
      <c r="AVU13" s="1" t="s">
        <v>1791</v>
      </c>
      <c r="AVW13" s="1">
        <v>136</v>
      </c>
    </row>
    <row r="14" spans="1:1271" x14ac:dyDescent="0.3">
      <c r="A14" s="1" t="s">
        <v>1695</v>
      </c>
      <c r="B14" s="1" t="s">
        <v>1696</v>
      </c>
      <c r="C14" s="1" t="s">
        <v>1697</v>
      </c>
      <c r="D14" s="1" t="s">
        <v>1689</v>
      </c>
      <c r="E14" s="1" t="s">
        <v>1690</v>
      </c>
      <c r="F14" s="1" t="s">
        <v>1689</v>
      </c>
      <c r="H14" s="2"/>
      <c r="I14" s="1" t="s">
        <v>1659</v>
      </c>
      <c r="J14" s="1" t="s">
        <v>1660</v>
      </c>
      <c r="K14" s="1" t="s">
        <v>1660</v>
      </c>
      <c r="N14" s="1" t="s">
        <v>1170</v>
      </c>
      <c r="O14" s="2">
        <v>0</v>
      </c>
      <c r="P14" s="2">
        <v>0</v>
      </c>
      <c r="Q14" s="2">
        <v>1</v>
      </c>
      <c r="R14" s="2">
        <v>0</v>
      </c>
      <c r="S14" s="2">
        <v>0</v>
      </c>
      <c r="ZS14" s="1" t="s">
        <v>1698</v>
      </c>
      <c r="ZT14" s="1" t="s">
        <v>1171</v>
      </c>
      <c r="ZV14" s="1" t="s">
        <v>1172</v>
      </c>
      <c r="ZX14" s="1" t="s">
        <v>1531</v>
      </c>
      <c r="ZY14" s="1" t="s">
        <v>1699</v>
      </c>
      <c r="ZZ14" s="2">
        <v>1</v>
      </c>
      <c r="AAA14" s="2">
        <v>0</v>
      </c>
      <c r="AAB14" s="2">
        <v>0</v>
      </c>
      <c r="AAC14" s="2">
        <v>0</v>
      </c>
      <c r="AAD14" s="2">
        <v>0</v>
      </c>
      <c r="AAE14" s="2">
        <v>0</v>
      </c>
      <c r="AAF14" s="2">
        <v>0</v>
      </c>
      <c r="AAG14" s="2">
        <v>0</v>
      </c>
      <c r="AAI14" s="63" t="s">
        <v>1671</v>
      </c>
      <c r="AAV14" s="1" t="s">
        <v>1700</v>
      </c>
      <c r="AAW14" s="2">
        <v>1</v>
      </c>
      <c r="AAX14" s="2">
        <v>1</v>
      </c>
      <c r="AAY14" s="2">
        <v>1</v>
      </c>
      <c r="AAZ14" s="2">
        <v>0</v>
      </c>
      <c r="ABA14" s="2">
        <v>1</v>
      </c>
      <c r="ABB14" s="2">
        <v>0</v>
      </c>
      <c r="ABC14" s="2">
        <v>0</v>
      </c>
      <c r="ABD14" s="57"/>
      <c r="ABE14" s="1" t="s">
        <v>1173</v>
      </c>
      <c r="ABF14" s="2">
        <v>1</v>
      </c>
      <c r="ABG14" s="2">
        <v>0</v>
      </c>
      <c r="ABH14" s="2">
        <v>0</v>
      </c>
      <c r="ABI14" s="2">
        <v>0</v>
      </c>
      <c r="ABJ14" s="2">
        <v>0</v>
      </c>
      <c r="ABL14" s="1" t="s">
        <v>1188</v>
      </c>
      <c r="ABM14" s="2">
        <v>1</v>
      </c>
      <c r="ABN14" s="2">
        <v>0</v>
      </c>
      <c r="ABO14" s="2">
        <v>0</v>
      </c>
      <c r="ABP14" s="2">
        <v>0</v>
      </c>
      <c r="ABQ14" s="2">
        <v>0</v>
      </c>
      <c r="ABR14" s="2">
        <v>0</v>
      </c>
      <c r="ABS14" s="58">
        <v>0</v>
      </c>
      <c r="ABT14" s="2">
        <v>0</v>
      </c>
      <c r="ABU14" s="2">
        <v>0</v>
      </c>
      <c r="ABV14" s="2">
        <v>0</v>
      </c>
      <c r="ABW14" s="2">
        <v>0</v>
      </c>
      <c r="ABX14" s="2">
        <v>0</v>
      </c>
      <c r="ABZ14" s="2">
        <v>12</v>
      </c>
      <c r="ACA14" s="1" t="s">
        <v>1156</v>
      </c>
      <c r="ACB14" s="2">
        <v>1</v>
      </c>
      <c r="ACC14" s="1" t="s">
        <v>1155</v>
      </c>
      <c r="ACI14" s="1" t="s">
        <v>1155</v>
      </c>
      <c r="ACJ14" s="1" t="s">
        <v>1155</v>
      </c>
      <c r="ACM14" s="1" t="s">
        <v>1155</v>
      </c>
      <c r="ACN14" s="2">
        <v>795</v>
      </c>
      <c r="ACO14" s="2">
        <v>311</v>
      </c>
      <c r="ACP14" s="2">
        <v>484</v>
      </c>
      <c r="ACQ14" s="2">
        <v>484</v>
      </c>
      <c r="ACR14" s="2">
        <v>795</v>
      </c>
      <c r="ACT14" s="2">
        <v>6</v>
      </c>
      <c r="ACU14" s="2">
        <v>19</v>
      </c>
      <c r="ACV14" s="1" t="s">
        <v>1156</v>
      </c>
      <c r="ACW14" s="1" t="s">
        <v>1161</v>
      </c>
      <c r="ADG14" s="1" t="s">
        <v>1701</v>
      </c>
      <c r="ADH14" s="2">
        <v>0</v>
      </c>
      <c r="ADI14" s="2">
        <v>0</v>
      </c>
      <c r="ADJ14" s="2">
        <v>1</v>
      </c>
      <c r="ADK14" s="58">
        <v>1</v>
      </c>
      <c r="ADL14" s="2">
        <v>1</v>
      </c>
      <c r="ADM14" s="2">
        <v>0</v>
      </c>
      <c r="ADN14" s="2">
        <v>0</v>
      </c>
      <c r="ADO14" s="2">
        <v>1</v>
      </c>
      <c r="ADQ14" s="2">
        <v>0</v>
      </c>
      <c r="ADR14" s="2">
        <v>0</v>
      </c>
      <c r="ADS14" s="2">
        <v>0</v>
      </c>
      <c r="ADT14" s="2">
        <v>0</v>
      </c>
      <c r="ADU14" s="2">
        <v>0</v>
      </c>
      <c r="ADW14" s="1" t="s">
        <v>1155</v>
      </c>
      <c r="AEO14" s="2">
        <v>0</v>
      </c>
      <c r="AEP14" s="2">
        <v>0</v>
      </c>
      <c r="AEQ14" s="2">
        <v>0</v>
      </c>
      <c r="AER14" s="2">
        <v>0</v>
      </c>
      <c r="AES14" s="2">
        <v>0</v>
      </c>
      <c r="AEU14" s="1" t="s">
        <v>1155</v>
      </c>
      <c r="AFL14" s="2">
        <v>6</v>
      </c>
      <c r="AFM14" s="2">
        <v>1</v>
      </c>
      <c r="AFN14" s="2">
        <v>5</v>
      </c>
      <c r="AFO14" s="2">
        <v>5</v>
      </c>
      <c r="AFP14" s="2">
        <v>6</v>
      </c>
      <c r="AFR14" s="1" t="s">
        <v>1156</v>
      </c>
      <c r="AFS14" s="1" t="s">
        <v>1161</v>
      </c>
      <c r="AGA14" s="1" t="s">
        <v>1702</v>
      </c>
      <c r="AGB14" s="2">
        <v>1</v>
      </c>
      <c r="AGC14" s="2">
        <v>1</v>
      </c>
      <c r="AGD14" s="2">
        <v>0</v>
      </c>
      <c r="AGE14" s="2">
        <v>0</v>
      </c>
      <c r="AGF14" s="2">
        <v>1</v>
      </c>
      <c r="AGG14" s="1" t="s">
        <v>1973</v>
      </c>
      <c r="AGH14" s="1" t="s">
        <v>1174</v>
      </c>
      <c r="AGI14" s="1" t="s">
        <v>1174</v>
      </c>
      <c r="AGJ14" s="1" t="s">
        <v>1155</v>
      </c>
      <c r="AHQ14" s="1" t="s">
        <v>1164</v>
      </c>
      <c r="AHR14" s="2">
        <v>0</v>
      </c>
      <c r="AHS14" s="2">
        <v>0</v>
      </c>
      <c r="AHT14" s="2">
        <v>0</v>
      </c>
      <c r="AHU14" s="2">
        <v>0</v>
      </c>
      <c r="AHV14" s="2">
        <v>1</v>
      </c>
      <c r="AHX14" s="1" t="s">
        <v>1663</v>
      </c>
      <c r="AHY14" s="2">
        <v>1</v>
      </c>
      <c r="AHZ14" s="2">
        <v>1</v>
      </c>
      <c r="AIA14" s="2">
        <v>1</v>
      </c>
      <c r="AIB14" s="2">
        <v>1</v>
      </c>
      <c r="AIC14" s="2">
        <v>1</v>
      </c>
      <c r="AID14" s="2">
        <v>1</v>
      </c>
      <c r="AIE14" s="2">
        <v>1</v>
      </c>
      <c r="AIF14" s="58">
        <v>0</v>
      </c>
      <c r="AIG14" s="2">
        <v>0</v>
      </c>
      <c r="AIH14" s="2">
        <v>0</v>
      </c>
      <c r="AII14" s="2">
        <v>0</v>
      </c>
      <c r="AIK14" s="1" t="s">
        <v>1164</v>
      </c>
      <c r="AIL14" s="2">
        <v>0</v>
      </c>
      <c r="AIM14" s="2">
        <v>0</v>
      </c>
      <c r="AIN14" s="2">
        <v>0</v>
      </c>
      <c r="AIO14" s="2">
        <v>0</v>
      </c>
      <c r="AIP14" s="2">
        <v>0</v>
      </c>
      <c r="AIQ14" s="2">
        <v>0</v>
      </c>
      <c r="AIR14" s="2">
        <v>0</v>
      </c>
      <c r="AIS14" s="58">
        <v>0</v>
      </c>
      <c r="AIT14" s="2">
        <v>0</v>
      </c>
      <c r="AIU14" s="2">
        <v>1</v>
      </c>
      <c r="AIV14" s="2">
        <v>0</v>
      </c>
      <c r="AIW14" s="2">
        <v>0</v>
      </c>
      <c r="AIX14" s="2">
        <v>0</v>
      </c>
      <c r="AIZ14" s="1" t="s">
        <v>1156</v>
      </c>
      <c r="AJA14" s="1" t="s">
        <v>1158</v>
      </c>
      <c r="AJB14" s="2">
        <v>0</v>
      </c>
      <c r="AJC14" s="2">
        <v>0</v>
      </c>
      <c r="AJD14" s="2">
        <v>0</v>
      </c>
      <c r="AJE14" s="2">
        <v>0</v>
      </c>
      <c r="AJF14" s="2">
        <v>1</v>
      </c>
      <c r="AJG14" s="2">
        <v>0</v>
      </c>
      <c r="AJH14" s="2">
        <v>0</v>
      </c>
      <c r="AJJ14" s="1" t="s">
        <v>1189</v>
      </c>
      <c r="AJK14" s="2">
        <v>0</v>
      </c>
      <c r="AJL14" s="2">
        <v>0</v>
      </c>
      <c r="AJM14" s="2">
        <v>0</v>
      </c>
      <c r="AJN14" s="2">
        <v>0</v>
      </c>
      <c r="AJO14" s="2">
        <v>0</v>
      </c>
      <c r="AJP14" s="2">
        <v>0</v>
      </c>
      <c r="AJQ14" s="2">
        <v>1</v>
      </c>
      <c r="AJR14" s="2">
        <v>0</v>
      </c>
      <c r="AJS14" s="2">
        <v>0</v>
      </c>
      <c r="AJT14" s="2">
        <v>0</v>
      </c>
      <c r="AJU14" s="2">
        <v>0</v>
      </c>
      <c r="AJV14" s="2">
        <v>0</v>
      </c>
      <c r="AJX14" s="1" t="s">
        <v>1155</v>
      </c>
      <c r="AJY14" s="1" t="s">
        <v>1180</v>
      </c>
      <c r="AJZ14" s="2">
        <v>1</v>
      </c>
      <c r="AKA14" s="2">
        <v>0</v>
      </c>
      <c r="AKB14" s="2">
        <v>0</v>
      </c>
      <c r="AKC14" s="2">
        <v>0</v>
      </c>
      <c r="AKD14" s="2">
        <v>0</v>
      </c>
      <c r="AKF14" s="1" t="s">
        <v>1528</v>
      </c>
      <c r="AKG14" s="2">
        <v>1</v>
      </c>
      <c r="AKH14" s="2">
        <v>1</v>
      </c>
      <c r="AKI14" s="2">
        <v>1</v>
      </c>
      <c r="AKJ14" s="2">
        <v>1</v>
      </c>
      <c r="AKK14" s="2">
        <v>1</v>
      </c>
      <c r="AKL14" s="2">
        <v>1</v>
      </c>
      <c r="AKM14" s="2">
        <v>1</v>
      </c>
      <c r="AKN14" s="2">
        <v>1</v>
      </c>
      <c r="AKO14" s="2">
        <v>1</v>
      </c>
      <c r="AKP14" s="2">
        <v>1</v>
      </c>
      <c r="AKQ14" s="2">
        <v>0</v>
      </c>
      <c r="AKR14" s="2">
        <v>0</v>
      </c>
      <c r="ANP14" s="1"/>
      <c r="ARD14" s="85"/>
      <c r="ARK14" s="1"/>
      <c r="AVT14" s="1">
        <v>130991731</v>
      </c>
      <c r="AVU14" s="1" t="s">
        <v>1797</v>
      </c>
      <c r="AVW14" s="1">
        <v>137</v>
      </c>
    </row>
    <row r="15" spans="1:1271" x14ac:dyDescent="0.3">
      <c r="A15" s="1" t="s">
        <v>1751</v>
      </c>
      <c r="B15" s="1" t="s">
        <v>1752</v>
      </c>
      <c r="C15" s="1" t="s">
        <v>1753</v>
      </c>
      <c r="D15" s="1" t="s">
        <v>1754</v>
      </c>
      <c r="E15" s="1" t="s">
        <v>1658</v>
      </c>
      <c r="F15" s="1" t="s">
        <v>1754</v>
      </c>
      <c r="H15" s="2"/>
      <c r="I15" s="1" t="s">
        <v>1659</v>
      </c>
      <c r="J15" s="1" t="s">
        <v>1660</v>
      </c>
      <c r="K15" s="1" t="s">
        <v>1660</v>
      </c>
      <c r="N15" s="1" t="s">
        <v>1170</v>
      </c>
      <c r="O15" s="2">
        <v>0</v>
      </c>
      <c r="P15" s="2">
        <v>0</v>
      </c>
      <c r="Q15" s="2">
        <v>1</v>
      </c>
      <c r="R15" s="2">
        <v>0</v>
      </c>
      <c r="S15" s="2">
        <v>0</v>
      </c>
      <c r="ZS15" s="1" t="s">
        <v>1755</v>
      </c>
      <c r="ZT15" s="1" t="s">
        <v>1171</v>
      </c>
      <c r="ZV15" s="1" t="s">
        <v>1179</v>
      </c>
      <c r="ZX15" s="1" t="s">
        <v>1156</v>
      </c>
      <c r="ABD15" s="2"/>
      <c r="ABE15" s="1" t="s">
        <v>1173</v>
      </c>
      <c r="ABF15" s="2">
        <v>1</v>
      </c>
      <c r="ABG15" s="2">
        <v>0</v>
      </c>
      <c r="ABH15" s="2">
        <v>0</v>
      </c>
      <c r="ABI15" s="2">
        <v>0</v>
      </c>
      <c r="ABJ15" s="2">
        <v>0</v>
      </c>
      <c r="ABL15" s="1" t="s">
        <v>1177</v>
      </c>
      <c r="ABM15" s="2">
        <v>0</v>
      </c>
      <c r="ABN15" s="2">
        <v>0</v>
      </c>
      <c r="ABO15" s="2">
        <v>0</v>
      </c>
      <c r="ABP15" s="2">
        <v>0</v>
      </c>
      <c r="ABQ15" s="2">
        <v>0</v>
      </c>
      <c r="ABR15" s="2">
        <v>0</v>
      </c>
      <c r="ABS15" s="58">
        <v>0</v>
      </c>
      <c r="ABT15" s="2">
        <v>0</v>
      </c>
      <c r="ABU15" s="2">
        <v>0</v>
      </c>
      <c r="ABV15" s="2">
        <v>0</v>
      </c>
      <c r="ABW15" s="2">
        <v>0</v>
      </c>
      <c r="ABX15" s="2">
        <v>1</v>
      </c>
      <c r="ABZ15" s="2">
        <v>3</v>
      </c>
      <c r="ACA15" s="1" t="s">
        <v>1155</v>
      </c>
      <c r="ACJ15" s="1" t="s">
        <v>1155</v>
      </c>
      <c r="ACM15" s="1" t="s">
        <v>1155</v>
      </c>
      <c r="ACN15" s="2">
        <v>302</v>
      </c>
      <c r="ACO15" s="2">
        <v>166</v>
      </c>
      <c r="ACP15" s="2">
        <v>136</v>
      </c>
      <c r="ACQ15" s="2">
        <v>136</v>
      </c>
      <c r="ACR15" s="2">
        <v>302</v>
      </c>
      <c r="ACT15" s="2">
        <v>7</v>
      </c>
      <c r="ACU15" s="2">
        <v>16</v>
      </c>
      <c r="ACV15" s="1" t="s">
        <v>1156</v>
      </c>
      <c r="ACW15" s="1" t="s">
        <v>1161</v>
      </c>
      <c r="ADG15" s="1" t="s">
        <v>1532</v>
      </c>
      <c r="ADH15" s="2">
        <v>0</v>
      </c>
      <c r="ADI15" s="2">
        <v>0</v>
      </c>
      <c r="ADJ15" s="2">
        <v>0</v>
      </c>
      <c r="ADK15" s="58">
        <v>0</v>
      </c>
      <c r="ADL15" s="2">
        <v>0</v>
      </c>
      <c r="ADM15" s="2">
        <v>0</v>
      </c>
      <c r="ADN15" s="2">
        <v>0</v>
      </c>
      <c r="ADO15" s="2">
        <v>1</v>
      </c>
      <c r="ADQ15" s="2">
        <v>3</v>
      </c>
      <c r="ADR15" s="2">
        <v>0</v>
      </c>
      <c r="ADS15" s="2">
        <v>3</v>
      </c>
      <c r="ADT15" s="2">
        <v>3</v>
      </c>
      <c r="ADU15" s="2">
        <v>3</v>
      </c>
      <c r="ADW15" s="1" t="s">
        <v>1155</v>
      </c>
      <c r="AEO15" s="2">
        <v>0</v>
      </c>
      <c r="AEP15" s="2">
        <v>0</v>
      </c>
      <c r="AEQ15" s="2">
        <v>0</v>
      </c>
      <c r="AER15" s="2">
        <v>0</v>
      </c>
      <c r="AES15" s="2">
        <v>0</v>
      </c>
      <c r="AEU15" s="1" t="s">
        <v>1155</v>
      </c>
      <c r="AFL15" s="2">
        <v>3</v>
      </c>
      <c r="AFM15" s="2">
        <v>0</v>
      </c>
      <c r="AFN15" s="2">
        <v>3</v>
      </c>
      <c r="AFO15" s="2">
        <v>3</v>
      </c>
      <c r="AFP15" s="2">
        <v>3</v>
      </c>
      <c r="AFR15" s="1" t="s">
        <v>1155</v>
      </c>
      <c r="AGH15" s="1" t="s">
        <v>1174</v>
      </c>
      <c r="AGI15" s="1" t="s">
        <v>1187</v>
      </c>
      <c r="AGJ15" s="1" t="s">
        <v>1156</v>
      </c>
      <c r="AGK15" s="2">
        <v>1500</v>
      </c>
      <c r="AGL15" s="1" t="s">
        <v>1178</v>
      </c>
      <c r="AGM15" s="2">
        <v>1</v>
      </c>
      <c r="AGN15" s="2">
        <v>1</v>
      </c>
      <c r="AGO15" s="2">
        <v>0</v>
      </c>
      <c r="AGP15" s="2">
        <v>0</v>
      </c>
      <c r="AGQ15" s="2">
        <v>0</v>
      </c>
      <c r="AGR15" s="2">
        <v>0</v>
      </c>
      <c r="AGT15" s="1" t="s">
        <v>1155</v>
      </c>
      <c r="AHQ15" s="1" t="s">
        <v>1164</v>
      </c>
      <c r="AHR15" s="2">
        <v>0</v>
      </c>
      <c r="AHS15" s="2">
        <v>0</v>
      </c>
      <c r="AHT15" s="2">
        <v>0</v>
      </c>
      <c r="AHU15" s="2">
        <v>0</v>
      </c>
      <c r="AHV15" s="2">
        <v>1</v>
      </c>
      <c r="AHX15" s="1" t="s">
        <v>1529</v>
      </c>
      <c r="AHY15" s="2">
        <v>1</v>
      </c>
      <c r="AHZ15" s="2">
        <v>1</v>
      </c>
      <c r="AIA15" s="2">
        <v>1</v>
      </c>
      <c r="AIB15" s="2">
        <v>1</v>
      </c>
      <c r="AIC15" s="2">
        <v>1</v>
      </c>
      <c r="AID15" s="2">
        <v>0</v>
      </c>
      <c r="AIE15" s="2">
        <v>0</v>
      </c>
      <c r="AIF15" s="58">
        <v>0</v>
      </c>
      <c r="AIG15" s="2">
        <v>0</v>
      </c>
      <c r="AIH15" s="2">
        <v>0</v>
      </c>
      <c r="AII15" s="2">
        <v>0</v>
      </c>
      <c r="AIK15" s="1" t="s">
        <v>1188</v>
      </c>
      <c r="AIL15" s="2">
        <v>0</v>
      </c>
      <c r="AIM15" s="2">
        <v>1</v>
      </c>
      <c r="AIN15" s="2">
        <v>0</v>
      </c>
      <c r="AIO15" s="2">
        <v>0</v>
      </c>
      <c r="AIP15" s="2">
        <v>0</v>
      </c>
      <c r="AIQ15" s="2">
        <v>0</v>
      </c>
      <c r="AIR15" s="2">
        <v>0</v>
      </c>
      <c r="AIS15" s="58">
        <v>0</v>
      </c>
      <c r="AIT15" s="2">
        <v>0</v>
      </c>
      <c r="AIU15" s="2">
        <v>0</v>
      </c>
      <c r="AIV15" s="2">
        <v>0</v>
      </c>
      <c r="AIW15" s="2">
        <v>0</v>
      </c>
      <c r="AIX15" s="2">
        <v>0</v>
      </c>
      <c r="AIZ15" s="1" t="s">
        <v>1155</v>
      </c>
      <c r="AKF15" s="1" t="s">
        <v>1756</v>
      </c>
      <c r="AKG15" s="2">
        <v>0</v>
      </c>
      <c r="AKH15" s="2">
        <v>1</v>
      </c>
      <c r="AKI15" s="2">
        <v>1</v>
      </c>
      <c r="AKJ15" s="2">
        <v>1</v>
      </c>
      <c r="AKK15" s="2">
        <v>1</v>
      </c>
      <c r="AKL15" s="2">
        <v>1</v>
      </c>
      <c r="AKM15" s="2">
        <v>1</v>
      </c>
      <c r="AKN15" s="2">
        <v>1</v>
      </c>
      <c r="AKO15" s="2">
        <v>0</v>
      </c>
      <c r="AKP15" s="2">
        <v>0</v>
      </c>
      <c r="AKQ15" s="2">
        <v>0</v>
      </c>
      <c r="AKR15" s="2">
        <v>0</v>
      </c>
      <c r="ANP15" s="1"/>
      <c r="ARD15" s="85"/>
      <c r="ARK15" s="1"/>
      <c r="AVT15" s="1">
        <v>130991844</v>
      </c>
      <c r="AVU15" s="1" t="s">
        <v>1804</v>
      </c>
      <c r="AVW15" s="1">
        <v>138</v>
      </c>
    </row>
    <row r="16" spans="1:1271" x14ac:dyDescent="0.3">
      <c r="A16" s="1" t="s">
        <v>1758</v>
      </c>
      <c r="B16" s="1" t="s">
        <v>1759</v>
      </c>
      <c r="C16" s="1" t="s">
        <v>1760</v>
      </c>
      <c r="D16" s="1" t="s">
        <v>1657</v>
      </c>
      <c r="E16" s="1" t="s">
        <v>1690</v>
      </c>
      <c r="F16" s="1" t="s">
        <v>1657</v>
      </c>
      <c r="H16" s="2"/>
      <c r="I16" s="1" t="s">
        <v>1659</v>
      </c>
      <c r="J16" s="1" t="s">
        <v>1660</v>
      </c>
      <c r="K16" s="1" t="s">
        <v>1660</v>
      </c>
      <c r="N16" s="1" t="s">
        <v>1160</v>
      </c>
      <c r="O16" s="2">
        <v>0</v>
      </c>
      <c r="P16" s="2">
        <v>0</v>
      </c>
      <c r="Q16" s="2">
        <v>0</v>
      </c>
      <c r="R16" s="2">
        <v>0</v>
      </c>
      <c r="S16" s="2">
        <v>1</v>
      </c>
      <c r="ABS16" s="1"/>
      <c r="ADK16" s="1"/>
      <c r="AIS16" s="1"/>
      <c r="AKT16" s="1" t="s">
        <v>1761</v>
      </c>
      <c r="AKU16" s="1" t="s">
        <v>1156</v>
      </c>
      <c r="ALF16" s="1" t="s">
        <v>1155</v>
      </c>
      <c r="ALG16" s="1" t="s">
        <v>1156</v>
      </c>
      <c r="ALN16" s="1" t="s">
        <v>1762</v>
      </c>
      <c r="ALO16" s="2">
        <v>1</v>
      </c>
      <c r="ALP16" s="2">
        <v>0</v>
      </c>
      <c r="ALQ16" s="2">
        <v>0</v>
      </c>
      <c r="ALR16" s="2">
        <v>0</v>
      </c>
      <c r="ALS16" s="2">
        <v>0</v>
      </c>
      <c r="ALT16" s="2">
        <v>0</v>
      </c>
      <c r="ALU16" s="2">
        <v>0</v>
      </c>
      <c r="ALV16" s="2">
        <v>0</v>
      </c>
      <c r="ALX16" s="1" t="s">
        <v>1165</v>
      </c>
      <c r="ALY16" s="2">
        <v>1</v>
      </c>
      <c r="ALZ16" s="2">
        <v>1</v>
      </c>
      <c r="AMA16" s="2">
        <v>1</v>
      </c>
      <c r="AMB16" s="2">
        <v>1</v>
      </c>
      <c r="AMC16" s="2">
        <v>1</v>
      </c>
      <c r="AMD16" s="2">
        <v>1</v>
      </c>
      <c r="AME16" s="2">
        <v>1</v>
      </c>
      <c r="AMF16" s="1" t="s">
        <v>1154</v>
      </c>
      <c r="AMG16" s="2">
        <v>0</v>
      </c>
      <c r="AMH16" s="2">
        <v>0</v>
      </c>
      <c r="AMI16" s="2">
        <v>0</v>
      </c>
      <c r="AMJ16" s="2">
        <v>0</v>
      </c>
      <c r="AMK16" s="2">
        <v>1</v>
      </c>
      <c r="AML16" s="1" t="s">
        <v>1991</v>
      </c>
      <c r="AMM16" s="1" t="s">
        <v>1155</v>
      </c>
      <c r="AMW16" s="2" t="s">
        <v>1162</v>
      </c>
      <c r="AMX16" s="1" t="s">
        <v>1156</v>
      </c>
      <c r="AMY16" s="1" t="s">
        <v>1166</v>
      </c>
      <c r="ANK16" s="1" t="s">
        <v>1193</v>
      </c>
      <c r="ANL16" s="2">
        <v>1</v>
      </c>
      <c r="ANM16" s="2">
        <v>0</v>
      </c>
      <c r="ANN16" s="2">
        <v>0</v>
      </c>
      <c r="ANO16" s="2">
        <v>0</v>
      </c>
      <c r="ANP16" s="58">
        <v>0</v>
      </c>
      <c r="ANQ16" s="2">
        <v>0</v>
      </c>
      <c r="ANR16" s="2">
        <v>0</v>
      </c>
      <c r="ANS16" s="2">
        <v>0</v>
      </c>
      <c r="ANT16" s="2">
        <v>0</v>
      </c>
      <c r="ANU16" s="2">
        <v>0</v>
      </c>
      <c r="ANV16" s="2">
        <v>0</v>
      </c>
      <c r="ANX16" s="1" t="s">
        <v>1155</v>
      </c>
      <c r="ANZ16" s="1" t="s">
        <v>1721</v>
      </c>
      <c r="AOA16" s="2">
        <v>0</v>
      </c>
      <c r="AOB16" s="2">
        <v>0</v>
      </c>
      <c r="AOC16" s="2">
        <v>0</v>
      </c>
      <c r="AOD16" s="2">
        <v>0</v>
      </c>
      <c r="AOE16" s="2">
        <v>0</v>
      </c>
      <c r="AOF16" s="2">
        <v>1</v>
      </c>
      <c r="AOG16" s="2">
        <v>0</v>
      </c>
      <c r="AOH16" s="2">
        <v>0</v>
      </c>
      <c r="AOJ16" s="1" t="s">
        <v>1154</v>
      </c>
      <c r="AOK16" s="1" t="s">
        <v>1763</v>
      </c>
      <c r="AOL16" s="1" t="s">
        <v>1394</v>
      </c>
      <c r="AOP16" s="2"/>
      <c r="AOQ16" s="2"/>
      <c r="AOR16" s="2"/>
      <c r="AOS16" s="2"/>
      <c r="AOT16" s="2"/>
      <c r="AOU16" s="2"/>
      <c r="AOV16" s="2"/>
      <c r="AOW16" s="2"/>
      <c r="APD16" s="1" t="s">
        <v>1398</v>
      </c>
      <c r="APF16" s="1" t="s">
        <v>1155</v>
      </c>
      <c r="APZ16" s="1" t="s">
        <v>1154</v>
      </c>
      <c r="AQA16" s="2">
        <v>0</v>
      </c>
      <c r="AQB16" s="2">
        <v>0</v>
      </c>
      <c r="AQC16" s="2">
        <v>0</v>
      </c>
      <c r="AQD16" s="2">
        <v>0</v>
      </c>
      <c r="AQE16" s="2">
        <v>0</v>
      </c>
      <c r="AQF16" s="2">
        <v>1</v>
      </c>
      <c r="ARA16" s="1" t="s">
        <v>1764</v>
      </c>
      <c r="ARB16" s="1" t="s">
        <v>1154</v>
      </c>
      <c r="ARC16" s="1" t="s">
        <v>1744</v>
      </c>
      <c r="ARD16" s="85" t="s">
        <v>2090</v>
      </c>
      <c r="ARE16" s="1" t="s">
        <v>1154</v>
      </c>
      <c r="ARF16" s="1" t="s">
        <v>1744</v>
      </c>
      <c r="ARG16" s="1" t="s">
        <v>1765</v>
      </c>
      <c r="ARH16" s="2">
        <v>0</v>
      </c>
      <c r="ARI16" s="2">
        <v>0</v>
      </c>
      <c r="ARJ16" s="2">
        <v>0</v>
      </c>
      <c r="ARK16" s="58">
        <v>0</v>
      </c>
      <c r="ARL16" s="2">
        <v>0</v>
      </c>
      <c r="ARM16" s="2">
        <v>0</v>
      </c>
      <c r="ARN16" s="2">
        <v>0</v>
      </c>
      <c r="ARO16" s="2">
        <v>0</v>
      </c>
      <c r="ARP16" s="2">
        <v>0</v>
      </c>
      <c r="ARQ16" s="2">
        <v>1</v>
      </c>
      <c r="ARR16" s="2">
        <v>0</v>
      </c>
      <c r="ARS16" s="2">
        <v>0</v>
      </c>
      <c r="ARU16" s="1" t="s">
        <v>1154</v>
      </c>
      <c r="ARV16" s="2">
        <v>0</v>
      </c>
      <c r="ARW16" s="2">
        <v>0</v>
      </c>
      <c r="ARX16" s="2">
        <v>0</v>
      </c>
      <c r="ARY16" s="2">
        <v>0</v>
      </c>
      <c r="ARZ16" s="2">
        <v>0</v>
      </c>
      <c r="ASA16" s="2">
        <v>0</v>
      </c>
      <c r="ASB16" s="2">
        <v>1</v>
      </c>
      <c r="ASC16" s="1" t="s">
        <v>1766</v>
      </c>
      <c r="ASD16" s="1" t="s">
        <v>1155</v>
      </c>
      <c r="ASN16" s="1" t="s">
        <v>1164</v>
      </c>
      <c r="ASO16" s="2">
        <v>0</v>
      </c>
      <c r="ASP16" s="2">
        <v>0</v>
      </c>
      <c r="ASQ16" s="2">
        <v>0</v>
      </c>
      <c r="ASR16" s="2">
        <v>0</v>
      </c>
      <c r="ASS16" s="2">
        <v>1</v>
      </c>
      <c r="ASU16" s="1" t="s">
        <v>1163</v>
      </c>
      <c r="ASV16" s="2">
        <v>1</v>
      </c>
      <c r="ASW16" s="2">
        <v>0</v>
      </c>
      <c r="ASX16" s="2">
        <v>0</v>
      </c>
      <c r="ASY16" s="2">
        <v>0</v>
      </c>
      <c r="ASZ16" s="2">
        <v>0</v>
      </c>
      <c r="ATA16" s="2">
        <v>0</v>
      </c>
      <c r="ATB16" s="2">
        <v>0</v>
      </c>
      <c r="ATC16" s="2">
        <v>0</v>
      </c>
      <c r="ATD16" s="2">
        <v>0</v>
      </c>
      <c r="ATE16" s="2">
        <v>0</v>
      </c>
      <c r="ATF16" s="2">
        <v>0</v>
      </c>
      <c r="ATG16" s="2">
        <v>0</v>
      </c>
      <c r="ATH16" s="2">
        <v>0</v>
      </c>
      <c r="ATJ16" s="1" t="s">
        <v>1730</v>
      </c>
      <c r="ATK16" s="2">
        <v>1</v>
      </c>
      <c r="ATL16" s="2">
        <v>1</v>
      </c>
      <c r="ATM16" s="2">
        <v>1</v>
      </c>
      <c r="ATN16" s="2">
        <v>0</v>
      </c>
      <c r="ATO16" s="2">
        <v>0</v>
      </c>
      <c r="ATP16" s="2">
        <v>0</v>
      </c>
      <c r="ATQ16" s="2">
        <v>1</v>
      </c>
      <c r="ATR16" s="2">
        <v>0</v>
      </c>
      <c r="ATS16" s="2">
        <v>0</v>
      </c>
      <c r="ATT16" s="2">
        <v>0</v>
      </c>
      <c r="ATU16" s="2">
        <v>0</v>
      </c>
      <c r="ATV16" s="2">
        <v>0</v>
      </c>
      <c r="ATW16" s="2">
        <v>0</v>
      </c>
      <c r="ATX16" s="2">
        <v>0</v>
      </c>
      <c r="ATY16" s="2">
        <v>0</v>
      </c>
      <c r="ATZ16" s="2">
        <v>0</v>
      </c>
      <c r="AUA16" s="2">
        <v>1</v>
      </c>
      <c r="AUB16" s="1" t="s">
        <v>1731</v>
      </c>
      <c r="AUC16" s="1" t="s">
        <v>1155</v>
      </c>
      <c r="AVG16" s="1" t="s">
        <v>1732</v>
      </c>
      <c r="AVH16" s="2">
        <v>1</v>
      </c>
      <c r="AVI16" s="2">
        <v>0</v>
      </c>
      <c r="AVJ16" s="2">
        <v>1</v>
      </c>
      <c r="AVK16" s="2">
        <v>0</v>
      </c>
      <c r="AVL16" s="2">
        <v>0</v>
      </c>
      <c r="AVM16" s="2">
        <v>0</v>
      </c>
      <c r="AVN16" s="2">
        <v>0</v>
      </c>
      <c r="AVO16" s="2">
        <v>0</v>
      </c>
      <c r="AVP16" s="2">
        <v>1</v>
      </c>
      <c r="AVQ16" s="1" t="s">
        <v>1733</v>
      </c>
      <c r="AVT16" s="1">
        <v>130993613</v>
      </c>
      <c r="AVU16" s="1" t="s">
        <v>1817</v>
      </c>
      <c r="AVW16" s="1">
        <v>140</v>
      </c>
    </row>
    <row r="17" spans="1:1271" x14ac:dyDescent="0.3">
      <c r="A17" s="1" t="s">
        <v>1735</v>
      </c>
      <c r="B17" s="1" t="s">
        <v>1736</v>
      </c>
      <c r="C17" s="1" t="s">
        <v>1737</v>
      </c>
      <c r="D17" s="1" t="s">
        <v>1657</v>
      </c>
      <c r="E17" s="1" t="s">
        <v>1690</v>
      </c>
      <c r="F17" s="1" t="s">
        <v>1657</v>
      </c>
      <c r="H17" s="2"/>
      <c r="I17" s="1" t="s">
        <v>1659</v>
      </c>
      <c r="J17" s="1" t="s">
        <v>1660</v>
      </c>
      <c r="K17" s="1" t="s">
        <v>1660</v>
      </c>
      <c r="N17" s="1" t="s">
        <v>1160</v>
      </c>
      <c r="O17" s="2">
        <v>0</v>
      </c>
      <c r="P17" s="2">
        <v>0</v>
      </c>
      <c r="Q17" s="2">
        <v>0</v>
      </c>
      <c r="R17" s="2">
        <v>0</v>
      </c>
      <c r="S17" s="2">
        <v>1</v>
      </c>
      <c r="ABS17" s="1"/>
      <c r="ADK17" s="1"/>
      <c r="AIS17" s="1"/>
      <c r="AKT17" s="1" t="s">
        <v>1738</v>
      </c>
      <c r="AKU17" s="1" t="s">
        <v>1156</v>
      </c>
      <c r="ALF17" s="1" t="s">
        <v>1155</v>
      </c>
      <c r="ALG17" s="1" t="s">
        <v>1156</v>
      </c>
      <c r="ALN17" s="1" t="s">
        <v>1739</v>
      </c>
      <c r="ALO17" s="2">
        <v>1</v>
      </c>
      <c r="ALP17" s="2">
        <v>1</v>
      </c>
      <c r="ALQ17" s="2">
        <v>1</v>
      </c>
      <c r="ALR17" s="2">
        <v>1</v>
      </c>
      <c r="ALS17" s="2">
        <v>0</v>
      </c>
      <c r="ALT17" s="2">
        <v>0</v>
      </c>
      <c r="ALU17" s="2">
        <v>0</v>
      </c>
      <c r="ALV17" s="2">
        <v>0</v>
      </c>
      <c r="ALX17" s="1" t="s">
        <v>1165</v>
      </c>
      <c r="ALY17" s="2">
        <v>1</v>
      </c>
      <c r="ALZ17" s="2">
        <v>1</v>
      </c>
      <c r="AMA17" s="2">
        <v>1</v>
      </c>
      <c r="AMB17" s="2">
        <v>1</v>
      </c>
      <c r="AMC17" s="2">
        <v>1</v>
      </c>
      <c r="AMD17" s="2">
        <v>1</v>
      </c>
      <c r="AME17" s="2">
        <v>1</v>
      </c>
      <c r="AMF17" s="1" t="s">
        <v>1154</v>
      </c>
      <c r="AMG17" s="2">
        <v>0</v>
      </c>
      <c r="AMH17" s="2">
        <v>0</v>
      </c>
      <c r="AMI17" s="2">
        <v>0</v>
      </c>
      <c r="AMJ17" s="2">
        <v>0</v>
      </c>
      <c r="AMK17" s="2">
        <v>1</v>
      </c>
      <c r="AML17" s="1" t="s">
        <v>1740</v>
      </c>
      <c r="AMM17" s="1" t="s">
        <v>1156</v>
      </c>
      <c r="AMN17" s="2">
        <v>7</v>
      </c>
      <c r="AMO17" s="1" t="s">
        <v>1741</v>
      </c>
      <c r="AMP17" s="2">
        <v>0</v>
      </c>
      <c r="AMQ17" s="2">
        <v>1</v>
      </c>
      <c r="AMR17" s="2">
        <v>0</v>
      </c>
      <c r="AMS17" s="2">
        <v>0</v>
      </c>
      <c r="AMT17" s="2">
        <v>0</v>
      </c>
      <c r="AMU17" s="2">
        <v>1</v>
      </c>
      <c r="AMV17" s="1" t="s">
        <v>1742</v>
      </c>
      <c r="AMW17" s="2" t="s">
        <v>1162</v>
      </c>
      <c r="AMX17" s="1" t="s">
        <v>1156</v>
      </c>
      <c r="AMY17" s="1" t="s">
        <v>1161</v>
      </c>
      <c r="ANK17" s="1" t="s">
        <v>1193</v>
      </c>
      <c r="ANL17" s="2">
        <v>1</v>
      </c>
      <c r="ANM17" s="2">
        <v>0</v>
      </c>
      <c r="ANN17" s="2">
        <v>0</v>
      </c>
      <c r="ANO17" s="2">
        <v>0</v>
      </c>
      <c r="ANP17" s="58">
        <v>0</v>
      </c>
      <c r="ANQ17" s="2">
        <v>0</v>
      </c>
      <c r="ANR17" s="2">
        <v>0</v>
      </c>
      <c r="ANS17" s="2">
        <v>0</v>
      </c>
      <c r="ANT17" s="2">
        <v>0</v>
      </c>
      <c r="ANU17" s="2">
        <v>0</v>
      </c>
      <c r="ANV17" s="2">
        <v>0</v>
      </c>
      <c r="ANX17" s="1" t="s">
        <v>1156</v>
      </c>
      <c r="ANY17" s="2">
        <v>3</v>
      </c>
      <c r="ANZ17" s="1" t="s">
        <v>1721</v>
      </c>
      <c r="AOA17" s="2">
        <v>0</v>
      </c>
      <c r="AOB17" s="2">
        <v>0</v>
      </c>
      <c r="AOC17" s="2">
        <v>0</v>
      </c>
      <c r="AOD17" s="2">
        <v>0</v>
      </c>
      <c r="AOE17" s="2">
        <v>0</v>
      </c>
      <c r="AOF17" s="2">
        <v>1</v>
      </c>
      <c r="AOG17" s="2">
        <v>0</v>
      </c>
      <c r="AOH17" s="2">
        <v>0</v>
      </c>
      <c r="AOJ17" s="1" t="s">
        <v>1154</v>
      </c>
      <c r="AOK17" s="1" t="s">
        <v>1722</v>
      </c>
      <c r="AOL17" s="1" t="s">
        <v>1394</v>
      </c>
      <c r="AOO17" s="1" t="s">
        <v>1198</v>
      </c>
      <c r="AOP17" s="2">
        <v>0</v>
      </c>
      <c r="AOQ17" s="2">
        <v>1</v>
      </c>
      <c r="AOR17" s="2">
        <v>0</v>
      </c>
      <c r="AOS17" s="2">
        <v>0</v>
      </c>
      <c r="AOT17" s="2">
        <v>0</v>
      </c>
      <c r="AOU17" s="2">
        <v>0</v>
      </c>
      <c r="AOV17" s="2">
        <v>0</v>
      </c>
      <c r="AOW17" s="2">
        <v>0</v>
      </c>
      <c r="AOY17" s="1" t="s">
        <v>1154</v>
      </c>
      <c r="AOZ17" s="1" t="s">
        <v>1743</v>
      </c>
      <c r="APA17" s="1" t="s">
        <v>1394</v>
      </c>
      <c r="APD17" s="2">
        <v>20</v>
      </c>
      <c r="APF17" s="1" t="s">
        <v>1156</v>
      </c>
      <c r="APG17" s="1" t="s">
        <v>1166</v>
      </c>
      <c r="APQ17" s="1" t="s">
        <v>1193</v>
      </c>
      <c r="APR17" s="2">
        <v>0</v>
      </c>
      <c r="APS17" s="2">
        <v>0</v>
      </c>
      <c r="APT17" s="2">
        <v>0</v>
      </c>
      <c r="APU17" s="2">
        <v>1</v>
      </c>
      <c r="APV17" s="2">
        <v>0</v>
      </c>
      <c r="APW17" s="2">
        <v>0</v>
      </c>
      <c r="APX17" s="2">
        <v>0</v>
      </c>
      <c r="APZ17" s="1" t="s">
        <v>1154</v>
      </c>
      <c r="AQA17" s="2">
        <v>0</v>
      </c>
      <c r="AQB17" s="2">
        <v>0</v>
      </c>
      <c r="AQC17" s="2">
        <v>0</v>
      </c>
      <c r="AQD17" s="2">
        <v>0</v>
      </c>
      <c r="AQE17" s="2">
        <v>0</v>
      </c>
      <c r="AQF17" s="2">
        <v>1</v>
      </c>
      <c r="ARA17" s="1" t="s">
        <v>2013</v>
      </c>
      <c r="ARB17" s="1" t="s">
        <v>1154</v>
      </c>
      <c r="ARC17" s="1" t="s">
        <v>1744</v>
      </c>
      <c r="ARD17" s="85" t="s">
        <v>2090</v>
      </c>
      <c r="ARE17" s="1" t="s">
        <v>1154</v>
      </c>
      <c r="ARF17" s="1" t="s">
        <v>1744</v>
      </c>
      <c r="ARG17" s="1" t="s">
        <v>1163</v>
      </c>
      <c r="ARH17" s="2">
        <v>0</v>
      </c>
      <c r="ARI17" s="2">
        <v>1</v>
      </c>
      <c r="ARJ17" s="2">
        <v>0</v>
      </c>
      <c r="ARK17" s="58">
        <v>0</v>
      </c>
      <c r="ARL17" s="2">
        <v>0</v>
      </c>
      <c r="ARM17" s="2">
        <v>0</v>
      </c>
      <c r="ARN17" s="2">
        <v>0</v>
      </c>
      <c r="ARO17" s="2">
        <v>0</v>
      </c>
      <c r="ARP17" s="2">
        <v>0</v>
      </c>
      <c r="ARQ17" s="2">
        <v>0</v>
      </c>
      <c r="ARR17" s="2">
        <v>0</v>
      </c>
      <c r="ARS17" s="2">
        <v>0</v>
      </c>
      <c r="ARU17" s="1" t="s">
        <v>1163</v>
      </c>
      <c r="ARV17" s="2">
        <v>1</v>
      </c>
      <c r="ARW17" s="2">
        <v>0</v>
      </c>
      <c r="ARX17" s="2">
        <v>0</v>
      </c>
      <c r="ARY17" s="2">
        <v>0</v>
      </c>
      <c r="ARZ17" s="2">
        <v>0</v>
      </c>
      <c r="ASA17" s="2">
        <v>0</v>
      </c>
      <c r="ASB17" s="2">
        <v>0</v>
      </c>
      <c r="ASD17" s="1" t="s">
        <v>1156</v>
      </c>
      <c r="ASE17" s="1" t="s">
        <v>1745</v>
      </c>
      <c r="ASF17" s="2">
        <v>1</v>
      </c>
      <c r="ASG17" s="2">
        <v>0</v>
      </c>
      <c r="ASH17" s="2">
        <v>0</v>
      </c>
      <c r="ASI17" s="2">
        <v>0</v>
      </c>
      <c r="ASJ17" s="2">
        <v>0</v>
      </c>
      <c r="ASK17" s="2">
        <v>0</v>
      </c>
      <c r="ASL17" s="2">
        <v>1</v>
      </c>
      <c r="ASM17" s="1" t="s">
        <v>1746</v>
      </c>
      <c r="ASN17" s="1" t="s">
        <v>1164</v>
      </c>
      <c r="ASO17" s="2">
        <v>0</v>
      </c>
      <c r="ASP17" s="2">
        <v>0</v>
      </c>
      <c r="ASQ17" s="2">
        <v>0</v>
      </c>
      <c r="ASR17" s="2">
        <v>0</v>
      </c>
      <c r="ASS17" s="2">
        <v>1</v>
      </c>
      <c r="ASU17" s="1" t="s">
        <v>1392</v>
      </c>
      <c r="ASV17" s="2">
        <v>1</v>
      </c>
      <c r="ASW17" s="2">
        <v>0</v>
      </c>
      <c r="ASX17" s="2">
        <v>0</v>
      </c>
      <c r="ASY17" s="2">
        <v>0</v>
      </c>
      <c r="ASZ17" s="2">
        <v>0</v>
      </c>
      <c r="ATA17" s="2">
        <v>0</v>
      </c>
      <c r="ATB17" s="2">
        <v>1</v>
      </c>
      <c r="ATC17" s="2">
        <v>0</v>
      </c>
      <c r="ATD17" s="2">
        <v>0</v>
      </c>
      <c r="ATE17" s="2">
        <v>0</v>
      </c>
      <c r="ATF17" s="2">
        <v>0</v>
      </c>
      <c r="ATG17" s="2">
        <v>0</v>
      </c>
      <c r="ATH17" s="2">
        <v>0</v>
      </c>
      <c r="ATJ17" s="1" t="s">
        <v>1747</v>
      </c>
      <c r="ATK17" s="2">
        <v>0</v>
      </c>
      <c r="ATL17" s="2">
        <v>1</v>
      </c>
      <c r="ATM17" s="2">
        <v>0</v>
      </c>
      <c r="ATN17" s="2">
        <v>0</v>
      </c>
      <c r="ATO17" s="2">
        <v>0</v>
      </c>
      <c r="ATP17" s="2">
        <v>0</v>
      </c>
      <c r="ATQ17" s="2">
        <v>0</v>
      </c>
      <c r="ATR17" s="2">
        <v>0</v>
      </c>
      <c r="ATS17" s="2">
        <v>0</v>
      </c>
      <c r="ATT17" s="2">
        <v>0</v>
      </c>
      <c r="ATU17" s="2">
        <v>0</v>
      </c>
      <c r="ATV17" s="2">
        <v>0</v>
      </c>
      <c r="ATW17" s="2">
        <v>0</v>
      </c>
      <c r="ATX17" s="2">
        <v>0</v>
      </c>
      <c r="ATY17" s="2">
        <v>0</v>
      </c>
      <c r="ATZ17" s="2">
        <v>0</v>
      </c>
      <c r="AUA17" s="2">
        <v>1</v>
      </c>
      <c r="AUB17" s="1" t="s">
        <v>1748</v>
      </c>
      <c r="AUC17" s="1" t="s">
        <v>1155</v>
      </c>
      <c r="AVG17" s="1" t="s">
        <v>1732</v>
      </c>
      <c r="AVH17" s="2">
        <v>1</v>
      </c>
      <c r="AVI17" s="2">
        <v>0</v>
      </c>
      <c r="AVJ17" s="2">
        <v>1</v>
      </c>
      <c r="AVK17" s="2">
        <v>0</v>
      </c>
      <c r="AVL17" s="2">
        <v>0</v>
      </c>
      <c r="AVM17" s="2">
        <v>0</v>
      </c>
      <c r="AVN17" s="2">
        <v>0</v>
      </c>
      <c r="AVO17" s="2">
        <v>0</v>
      </c>
      <c r="AVP17" s="2">
        <v>1</v>
      </c>
      <c r="AVQ17" s="1" t="s">
        <v>1749</v>
      </c>
      <c r="AVT17" s="1">
        <v>130993968</v>
      </c>
      <c r="AVU17" s="1" t="s">
        <v>1828</v>
      </c>
      <c r="AVW17" s="1">
        <v>141</v>
      </c>
    </row>
    <row r="18" spans="1:1271" x14ac:dyDescent="0.3">
      <c r="A18" s="1" t="s">
        <v>1714</v>
      </c>
      <c r="B18" s="1" t="s">
        <v>1715</v>
      </c>
      <c r="C18" s="1" t="s">
        <v>1716</v>
      </c>
      <c r="D18" s="1" t="s">
        <v>1657</v>
      </c>
      <c r="E18" s="1" t="s">
        <v>1690</v>
      </c>
      <c r="F18" s="1" t="s">
        <v>1657</v>
      </c>
      <c r="H18" s="2"/>
      <c r="I18" s="1" t="s">
        <v>1659</v>
      </c>
      <c r="J18" s="1" t="s">
        <v>1660</v>
      </c>
      <c r="K18" s="1" t="s">
        <v>1660</v>
      </c>
      <c r="N18" s="1" t="s">
        <v>1160</v>
      </c>
      <c r="O18" s="2">
        <v>0</v>
      </c>
      <c r="P18" s="2">
        <v>0</v>
      </c>
      <c r="Q18" s="2">
        <v>0</v>
      </c>
      <c r="R18" s="2">
        <v>0</v>
      </c>
      <c r="S18" s="2">
        <v>1</v>
      </c>
      <c r="ABS18" s="1"/>
      <c r="ADK18" s="1"/>
      <c r="AIS18" s="1"/>
      <c r="AKT18" s="1" t="s">
        <v>1717</v>
      </c>
      <c r="AKU18" s="1" t="s">
        <v>1156</v>
      </c>
      <c r="ALF18" s="1" t="s">
        <v>1155</v>
      </c>
      <c r="ALG18" s="1" t="s">
        <v>1156</v>
      </c>
      <c r="ALN18" s="1" t="s">
        <v>1718</v>
      </c>
      <c r="ALO18" s="2">
        <v>1</v>
      </c>
      <c r="ALP18" s="2">
        <v>1</v>
      </c>
      <c r="ALQ18" s="2">
        <v>1</v>
      </c>
      <c r="ALR18" s="2">
        <v>1</v>
      </c>
      <c r="ALS18" s="2">
        <v>1</v>
      </c>
      <c r="ALT18" s="2">
        <v>0</v>
      </c>
      <c r="ALU18" s="2">
        <v>1</v>
      </c>
      <c r="ALV18" s="2">
        <v>0</v>
      </c>
      <c r="ALX18" s="1" t="s">
        <v>1165</v>
      </c>
      <c r="ALY18" s="2">
        <v>1</v>
      </c>
      <c r="ALZ18" s="2">
        <v>1</v>
      </c>
      <c r="AMA18" s="2">
        <v>1</v>
      </c>
      <c r="AMB18" s="2">
        <v>1</v>
      </c>
      <c r="AMC18" s="2">
        <v>1</v>
      </c>
      <c r="AMD18" s="2">
        <v>1</v>
      </c>
      <c r="AME18" s="2">
        <v>1</v>
      </c>
      <c r="AMF18" s="1" t="s">
        <v>1719</v>
      </c>
      <c r="AMG18" s="2">
        <v>1</v>
      </c>
      <c r="AMH18" s="2">
        <v>0</v>
      </c>
      <c r="AMI18" s="2">
        <v>0</v>
      </c>
      <c r="AMJ18" s="2">
        <v>0</v>
      </c>
      <c r="AMK18" s="2">
        <v>0</v>
      </c>
      <c r="AMM18" s="1" t="s">
        <v>1156</v>
      </c>
      <c r="AMN18" s="2">
        <v>7</v>
      </c>
      <c r="AMO18" s="1" t="s">
        <v>1154</v>
      </c>
      <c r="AMP18" s="2">
        <v>0</v>
      </c>
      <c r="AMQ18" s="2">
        <v>0</v>
      </c>
      <c r="AMR18" s="2">
        <v>0</v>
      </c>
      <c r="AMS18" s="2">
        <v>0</v>
      </c>
      <c r="AMT18" s="2">
        <v>0</v>
      </c>
      <c r="AMU18" s="2">
        <v>1</v>
      </c>
      <c r="AMV18" s="1" t="s">
        <v>1720</v>
      </c>
      <c r="AMW18" s="2" t="s">
        <v>1162</v>
      </c>
      <c r="AMX18" s="1" t="s">
        <v>1156</v>
      </c>
      <c r="AMY18" s="1" t="s">
        <v>1161</v>
      </c>
      <c r="ANK18" s="1" t="s">
        <v>1193</v>
      </c>
      <c r="ANL18" s="2">
        <v>1</v>
      </c>
      <c r="ANM18" s="2">
        <v>0</v>
      </c>
      <c r="ANN18" s="2">
        <v>0</v>
      </c>
      <c r="ANO18" s="2">
        <v>0</v>
      </c>
      <c r="ANP18" s="58">
        <v>0</v>
      </c>
      <c r="ANQ18" s="2">
        <v>0</v>
      </c>
      <c r="ANR18" s="2">
        <v>0</v>
      </c>
      <c r="ANS18" s="2">
        <v>0</v>
      </c>
      <c r="ANT18" s="2">
        <v>0</v>
      </c>
      <c r="ANU18" s="2">
        <v>0</v>
      </c>
      <c r="ANV18" s="2">
        <v>0</v>
      </c>
      <c r="ANX18" s="1" t="s">
        <v>1156</v>
      </c>
      <c r="ANY18" s="2">
        <v>3</v>
      </c>
      <c r="ANZ18" s="1" t="s">
        <v>1721</v>
      </c>
      <c r="AOA18" s="2">
        <v>0</v>
      </c>
      <c r="AOB18" s="2">
        <v>0</v>
      </c>
      <c r="AOC18" s="2">
        <v>0</v>
      </c>
      <c r="AOD18" s="2">
        <v>0</v>
      </c>
      <c r="AOE18" s="2">
        <v>0</v>
      </c>
      <c r="AOF18" s="2">
        <v>1</v>
      </c>
      <c r="AOG18" s="2">
        <v>0</v>
      </c>
      <c r="AOH18" s="2">
        <v>0</v>
      </c>
      <c r="AOJ18" s="1" t="s">
        <v>1154</v>
      </c>
      <c r="AOK18" s="1" t="s">
        <v>1722</v>
      </c>
      <c r="AOL18" s="1" t="s">
        <v>1394</v>
      </c>
      <c r="AOO18" s="1" t="s">
        <v>1723</v>
      </c>
      <c r="AOP18" s="2">
        <v>0</v>
      </c>
      <c r="AOQ18" s="2">
        <v>0</v>
      </c>
      <c r="AOR18" s="2">
        <v>0</v>
      </c>
      <c r="AOS18" s="2">
        <v>1</v>
      </c>
      <c r="AOT18" s="2">
        <v>0</v>
      </c>
      <c r="AOU18" s="2">
        <v>0</v>
      </c>
      <c r="AOV18" s="2">
        <v>0</v>
      </c>
      <c r="AOW18" s="2">
        <v>0</v>
      </c>
      <c r="AOY18" s="1" t="s">
        <v>1154</v>
      </c>
      <c r="AOZ18" s="1" t="s">
        <v>1724</v>
      </c>
      <c r="APA18" s="1" t="s">
        <v>1168</v>
      </c>
      <c r="APD18" s="1">
        <v>50</v>
      </c>
      <c r="APE18" s="1" t="s">
        <v>1725</v>
      </c>
      <c r="APF18" s="1" t="s">
        <v>1156</v>
      </c>
      <c r="APG18" s="1" t="s">
        <v>1166</v>
      </c>
      <c r="APQ18" s="1" t="s">
        <v>1193</v>
      </c>
      <c r="APR18" s="2">
        <v>0</v>
      </c>
      <c r="APS18" s="2">
        <v>0</v>
      </c>
      <c r="APT18" s="2">
        <v>0</v>
      </c>
      <c r="APU18" s="2">
        <v>1</v>
      </c>
      <c r="APV18" s="2">
        <v>0</v>
      </c>
      <c r="APW18" s="2">
        <v>0</v>
      </c>
      <c r="APX18" s="2">
        <v>0</v>
      </c>
      <c r="APZ18" s="1" t="s">
        <v>1726</v>
      </c>
      <c r="AQA18" s="2">
        <v>0</v>
      </c>
      <c r="AQB18" s="2">
        <v>1</v>
      </c>
      <c r="AQC18" s="2">
        <v>0</v>
      </c>
      <c r="AQD18" s="2">
        <v>0</v>
      </c>
      <c r="AQE18" s="2">
        <v>0</v>
      </c>
      <c r="AQF18" s="2">
        <v>1</v>
      </c>
      <c r="AQL18" s="1" t="s">
        <v>1154</v>
      </c>
      <c r="AQM18" s="1" t="s">
        <v>1727</v>
      </c>
      <c r="AQN18" s="2">
        <v>100</v>
      </c>
      <c r="AQO18" s="1" t="s">
        <v>1163</v>
      </c>
      <c r="ARA18" s="1" t="s">
        <v>1728</v>
      </c>
      <c r="ARB18" s="1" t="s">
        <v>1154</v>
      </c>
      <c r="ARC18" s="1" t="s">
        <v>1729</v>
      </c>
      <c r="ARD18" s="82">
        <v>100000</v>
      </c>
      <c r="ARE18" s="1" t="s">
        <v>1532</v>
      </c>
      <c r="ARG18" s="1" t="s">
        <v>1162</v>
      </c>
      <c r="ARH18" s="2">
        <v>0</v>
      </c>
      <c r="ARI18" s="2">
        <v>0</v>
      </c>
      <c r="ARJ18" s="2">
        <v>0</v>
      </c>
      <c r="ARK18" s="58">
        <v>0</v>
      </c>
      <c r="ARL18" s="2">
        <v>0</v>
      </c>
      <c r="ARM18" s="2">
        <v>0</v>
      </c>
      <c r="ARN18" s="2">
        <v>0</v>
      </c>
      <c r="ARO18" s="2">
        <v>1</v>
      </c>
      <c r="ARP18" s="2">
        <v>0</v>
      </c>
      <c r="ARQ18" s="2">
        <v>0</v>
      </c>
      <c r="ARR18" s="2">
        <v>0</v>
      </c>
      <c r="ARS18" s="2">
        <v>0</v>
      </c>
      <c r="ARU18" s="1" t="s">
        <v>1163</v>
      </c>
      <c r="ARV18" s="2">
        <v>1</v>
      </c>
      <c r="ARW18" s="2">
        <v>0</v>
      </c>
      <c r="ARX18" s="2">
        <v>0</v>
      </c>
      <c r="ARY18" s="2">
        <v>0</v>
      </c>
      <c r="ARZ18" s="2">
        <v>0</v>
      </c>
      <c r="ASA18" s="2">
        <v>0</v>
      </c>
      <c r="ASB18" s="2">
        <v>0</v>
      </c>
      <c r="ASD18" s="1" t="s">
        <v>1156</v>
      </c>
      <c r="ASE18" s="1" t="s">
        <v>1395</v>
      </c>
      <c r="ASF18" s="2">
        <v>1</v>
      </c>
      <c r="ASG18" s="2">
        <v>0</v>
      </c>
      <c r="ASH18" s="2">
        <v>0</v>
      </c>
      <c r="ASI18" s="2">
        <v>0</v>
      </c>
      <c r="ASJ18" s="2">
        <v>0</v>
      </c>
      <c r="ASK18" s="2">
        <v>0</v>
      </c>
      <c r="ASL18" s="2">
        <v>0</v>
      </c>
      <c r="ASN18" s="1" t="s">
        <v>1164</v>
      </c>
      <c r="ASO18" s="2">
        <v>0</v>
      </c>
      <c r="ASP18" s="2">
        <v>0</v>
      </c>
      <c r="ASQ18" s="2">
        <v>0</v>
      </c>
      <c r="ASR18" s="2">
        <v>0</v>
      </c>
      <c r="ASS18" s="2">
        <v>1</v>
      </c>
      <c r="ASU18" s="1" t="s">
        <v>2027</v>
      </c>
      <c r="ASV18" s="2">
        <v>0</v>
      </c>
      <c r="ASW18" s="2">
        <v>0</v>
      </c>
      <c r="ASX18" s="2">
        <v>0</v>
      </c>
      <c r="ASY18" s="2">
        <v>0</v>
      </c>
      <c r="ASZ18" s="2">
        <v>0</v>
      </c>
      <c r="ATA18" s="2">
        <v>1</v>
      </c>
      <c r="ATB18" s="2">
        <v>1</v>
      </c>
      <c r="ATC18" s="2">
        <v>0</v>
      </c>
      <c r="ATD18" s="2">
        <v>0</v>
      </c>
      <c r="ATE18" s="2">
        <v>0</v>
      </c>
      <c r="ATF18" s="2">
        <v>0</v>
      </c>
      <c r="ATG18" s="2">
        <v>0</v>
      </c>
      <c r="ATH18" s="2">
        <v>0</v>
      </c>
      <c r="ATI18" s="1" t="s">
        <v>1767</v>
      </c>
      <c r="ATJ18" s="1" t="s">
        <v>1747</v>
      </c>
      <c r="ATK18" s="2">
        <v>0</v>
      </c>
      <c r="ATL18" s="2">
        <v>1</v>
      </c>
      <c r="ATM18" s="2">
        <v>0</v>
      </c>
      <c r="ATN18" s="2">
        <v>0</v>
      </c>
      <c r="ATO18" s="2">
        <v>0</v>
      </c>
      <c r="ATP18" s="2">
        <v>0</v>
      </c>
      <c r="ATQ18" s="2">
        <v>0</v>
      </c>
      <c r="ATR18" s="2">
        <v>0</v>
      </c>
      <c r="ATS18" s="2">
        <v>0</v>
      </c>
      <c r="ATT18" s="2">
        <v>0</v>
      </c>
      <c r="ATU18" s="2">
        <v>0</v>
      </c>
      <c r="ATV18" s="2">
        <v>0</v>
      </c>
      <c r="ATW18" s="2">
        <v>0</v>
      </c>
      <c r="ATX18" s="2">
        <v>0</v>
      </c>
      <c r="ATY18" s="2">
        <v>0</v>
      </c>
      <c r="ATZ18" s="2">
        <v>0</v>
      </c>
      <c r="AUA18" s="2">
        <v>1</v>
      </c>
      <c r="AUB18" s="1" t="s">
        <v>1768</v>
      </c>
      <c r="AUC18" s="1" t="s">
        <v>1155</v>
      </c>
      <c r="AVG18" s="1" t="s">
        <v>1769</v>
      </c>
      <c r="AVH18" s="2">
        <v>1</v>
      </c>
      <c r="AVI18" s="2">
        <v>1</v>
      </c>
      <c r="AVJ18" s="2">
        <v>0</v>
      </c>
      <c r="AVK18" s="2">
        <v>0</v>
      </c>
      <c r="AVL18" s="2">
        <v>0</v>
      </c>
      <c r="AVM18" s="2">
        <v>0</v>
      </c>
      <c r="AVN18" s="2">
        <v>0</v>
      </c>
      <c r="AVO18" s="2">
        <v>0</v>
      </c>
      <c r="AVP18" s="2">
        <v>1</v>
      </c>
      <c r="AVQ18" s="1" t="s">
        <v>1770</v>
      </c>
      <c r="AVT18" s="1">
        <v>131016739</v>
      </c>
      <c r="AVU18" s="1" t="s">
        <v>1836</v>
      </c>
      <c r="AVW18" s="1">
        <v>143</v>
      </c>
    </row>
    <row r="19" spans="1:1271" x14ac:dyDescent="0.3">
      <c r="A19" s="1" t="s">
        <v>1778</v>
      </c>
      <c r="B19" s="1" t="s">
        <v>1779</v>
      </c>
      <c r="C19" s="1" t="s">
        <v>1780</v>
      </c>
      <c r="D19" s="1" t="s">
        <v>1754</v>
      </c>
      <c r="E19" s="1" t="s">
        <v>1658</v>
      </c>
      <c r="F19" s="1" t="s">
        <v>1754</v>
      </c>
      <c r="H19" s="2"/>
      <c r="I19" s="1" t="s">
        <v>1659</v>
      </c>
      <c r="J19" s="1" t="s">
        <v>1660</v>
      </c>
      <c r="K19" s="1" t="s">
        <v>1660</v>
      </c>
      <c r="N19" s="1" t="s">
        <v>1160</v>
      </c>
      <c r="O19" s="2">
        <v>0</v>
      </c>
      <c r="P19" s="2">
        <v>0</v>
      </c>
      <c r="Q19" s="2">
        <v>0</v>
      </c>
      <c r="R19" s="2">
        <v>0</v>
      </c>
      <c r="S19" s="2">
        <v>1</v>
      </c>
      <c r="ABS19" s="1"/>
      <c r="ADK19" s="1"/>
      <c r="AIS19" s="1"/>
      <c r="AKT19" s="1" t="s">
        <v>1990</v>
      </c>
      <c r="AKU19" s="1" t="s">
        <v>1156</v>
      </c>
      <c r="ALF19" s="1" t="s">
        <v>1156</v>
      </c>
      <c r="ALG19" s="1" t="s">
        <v>1156</v>
      </c>
      <c r="ALN19" s="1" t="s">
        <v>1781</v>
      </c>
      <c r="ALO19" s="2">
        <v>1</v>
      </c>
      <c r="ALP19" s="2">
        <v>1</v>
      </c>
      <c r="ALQ19" s="2">
        <v>0</v>
      </c>
      <c r="ALR19" s="2">
        <v>0</v>
      </c>
      <c r="ALS19" s="2">
        <v>1</v>
      </c>
      <c r="ALT19" s="2">
        <v>0</v>
      </c>
      <c r="ALU19" s="2">
        <v>0</v>
      </c>
      <c r="ALV19" s="2">
        <v>0</v>
      </c>
      <c r="ALX19" s="1" t="s">
        <v>1165</v>
      </c>
      <c r="ALY19" s="2">
        <v>1</v>
      </c>
      <c r="ALZ19" s="2">
        <v>1</v>
      </c>
      <c r="AMA19" s="2">
        <v>1</v>
      </c>
      <c r="AMB19" s="2">
        <v>1</v>
      </c>
      <c r="AMC19" s="2">
        <v>1</v>
      </c>
      <c r="AMD19" s="2">
        <v>1</v>
      </c>
      <c r="AME19" s="2">
        <v>1</v>
      </c>
      <c r="AMF19" s="1" t="s">
        <v>1782</v>
      </c>
      <c r="AMG19" s="2">
        <v>0</v>
      </c>
      <c r="AMH19" s="2">
        <v>0</v>
      </c>
      <c r="AMI19" s="2">
        <v>1</v>
      </c>
      <c r="AMJ19" s="2">
        <v>0</v>
      </c>
      <c r="AMK19" s="2">
        <v>0</v>
      </c>
      <c r="AMM19" s="1" t="s">
        <v>1155</v>
      </c>
      <c r="AMW19" s="2">
        <v>60</v>
      </c>
      <c r="AMX19" s="1" t="s">
        <v>1156</v>
      </c>
      <c r="AMY19" s="1" t="s">
        <v>1166</v>
      </c>
      <c r="ANK19" s="1" t="s">
        <v>1783</v>
      </c>
      <c r="ANL19" s="2">
        <v>0</v>
      </c>
      <c r="ANM19" s="2">
        <v>0</v>
      </c>
      <c r="ANN19" s="2">
        <v>1</v>
      </c>
      <c r="ANO19" s="2">
        <v>0</v>
      </c>
      <c r="ANP19" s="58">
        <v>0</v>
      </c>
      <c r="ANQ19" s="2">
        <v>0</v>
      </c>
      <c r="ANR19" s="2">
        <v>0</v>
      </c>
      <c r="ANS19" s="2">
        <v>0</v>
      </c>
      <c r="ANT19" s="2">
        <v>0</v>
      </c>
      <c r="ANU19" s="2">
        <v>0</v>
      </c>
      <c r="ANV19" s="2">
        <v>0</v>
      </c>
      <c r="ANX19" s="1" t="s">
        <v>1155</v>
      </c>
      <c r="ANZ19" s="1" t="s">
        <v>1396</v>
      </c>
      <c r="AOA19" s="2">
        <v>1</v>
      </c>
      <c r="AOB19" s="2">
        <v>1</v>
      </c>
      <c r="AOC19" s="2">
        <v>0</v>
      </c>
      <c r="AOD19" s="2">
        <v>0</v>
      </c>
      <c r="AOE19" s="2">
        <v>0</v>
      </c>
      <c r="AOF19" s="2">
        <v>0</v>
      </c>
      <c r="AOG19" s="2">
        <v>0</v>
      </c>
      <c r="AOH19" s="2">
        <v>0</v>
      </c>
      <c r="AOJ19" s="1" t="s">
        <v>1199</v>
      </c>
      <c r="AOL19" s="1" t="s">
        <v>1394</v>
      </c>
      <c r="AOO19" s="1" t="s">
        <v>1396</v>
      </c>
      <c r="AOP19" s="2">
        <v>1</v>
      </c>
      <c r="AOQ19" s="2">
        <v>1</v>
      </c>
      <c r="AOR19" s="2">
        <v>0</v>
      </c>
      <c r="AOS19" s="2">
        <v>0</v>
      </c>
      <c r="AOT19" s="2">
        <v>0</v>
      </c>
      <c r="AOU19" s="2">
        <v>0</v>
      </c>
      <c r="AOV19" s="2">
        <v>0</v>
      </c>
      <c r="AOW19" s="2">
        <v>0</v>
      </c>
      <c r="AOY19" s="1" t="s">
        <v>1167</v>
      </c>
      <c r="APA19" s="1" t="s">
        <v>1394</v>
      </c>
      <c r="APD19" s="2">
        <v>100</v>
      </c>
      <c r="APF19" s="1" t="s">
        <v>1156</v>
      </c>
      <c r="APG19" s="1" t="s">
        <v>1186</v>
      </c>
      <c r="APH19" s="1" t="s">
        <v>1784</v>
      </c>
      <c r="API19" s="2">
        <v>0</v>
      </c>
      <c r="APJ19" s="2">
        <v>1</v>
      </c>
      <c r="APK19" s="2">
        <v>0</v>
      </c>
      <c r="APL19" s="2">
        <v>0</v>
      </c>
      <c r="APM19" s="2">
        <v>0</v>
      </c>
      <c r="APN19" s="2">
        <v>0</v>
      </c>
      <c r="APO19" s="2">
        <v>0</v>
      </c>
      <c r="APZ19" s="1" t="s">
        <v>1154</v>
      </c>
      <c r="AQA19" s="2">
        <v>0</v>
      </c>
      <c r="AQB19" s="2">
        <v>0</v>
      </c>
      <c r="AQC19" s="2">
        <v>0</v>
      </c>
      <c r="AQD19" s="2">
        <v>0</v>
      </c>
      <c r="AQE19" s="2">
        <v>0</v>
      </c>
      <c r="AQF19" s="2">
        <v>1</v>
      </c>
      <c r="ARA19" s="1" t="s">
        <v>1764</v>
      </c>
      <c r="ARB19" s="1" t="s">
        <v>1154</v>
      </c>
      <c r="ARC19" s="1" t="s">
        <v>1785</v>
      </c>
      <c r="ARD19" s="85" t="s">
        <v>2090</v>
      </c>
      <c r="ARE19" s="1" t="s">
        <v>1154</v>
      </c>
      <c r="ARF19" s="1" t="s">
        <v>1786</v>
      </c>
      <c r="ARG19" s="1" t="s">
        <v>1765</v>
      </c>
      <c r="ARH19" s="2">
        <v>0</v>
      </c>
      <c r="ARI19" s="2">
        <v>0</v>
      </c>
      <c r="ARJ19" s="2">
        <v>0</v>
      </c>
      <c r="ARK19" s="58">
        <v>0</v>
      </c>
      <c r="ARL19" s="2">
        <v>0</v>
      </c>
      <c r="ARM19" s="2">
        <v>0</v>
      </c>
      <c r="ARN19" s="2">
        <v>0</v>
      </c>
      <c r="ARO19" s="2">
        <v>0</v>
      </c>
      <c r="ARP19" s="2">
        <v>0</v>
      </c>
      <c r="ARQ19" s="2">
        <v>1</v>
      </c>
      <c r="ARR19" s="2">
        <v>0</v>
      </c>
      <c r="ARS19" s="2">
        <v>0</v>
      </c>
      <c r="ARU19" s="1" t="s">
        <v>1154</v>
      </c>
      <c r="ARV19" s="2">
        <v>0</v>
      </c>
      <c r="ARW19" s="2">
        <v>0</v>
      </c>
      <c r="ARX19" s="2">
        <v>0</v>
      </c>
      <c r="ARY19" s="2">
        <v>0</v>
      </c>
      <c r="ARZ19" s="2">
        <v>0</v>
      </c>
      <c r="ASA19" s="2">
        <v>0</v>
      </c>
      <c r="ASB19" s="2">
        <v>1</v>
      </c>
      <c r="ASC19" s="1" t="s">
        <v>1787</v>
      </c>
      <c r="ASD19" s="1" t="s">
        <v>1155</v>
      </c>
      <c r="ASN19" s="1" t="s">
        <v>1164</v>
      </c>
      <c r="ASO19" s="2">
        <v>0</v>
      </c>
      <c r="ASP19" s="2">
        <v>0</v>
      </c>
      <c r="ASQ19" s="2">
        <v>0</v>
      </c>
      <c r="ASR19" s="2">
        <v>0</v>
      </c>
      <c r="ASS19" s="2">
        <v>1</v>
      </c>
      <c r="ASU19" s="1" t="s">
        <v>1788</v>
      </c>
      <c r="ASV19" s="2">
        <v>0</v>
      </c>
      <c r="ASW19" s="2">
        <v>0</v>
      </c>
      <c r="ASX19" s="2">
        <v>0</v>
      </c>
      <c r="ASY19" s="2">
        <v>0</v>
      </c>
      <c r="ASZ19" s="2">
        <v>0</v>
      </c>
      <c r="ATA19" s="2">
        <v>0</v>
      </c>
      <c r="ATB19" s="2">
        <v>1</v>
      </c>
      <c r="ATC19" s="2">
        <v>1</v>
      </c>
      <c r="ATD19" s="2">
        <v>0</v>
      </c>
      <c r="ATE19" s="2">
        <v>0</v>
      </c>
      <c r="ATF19" s="2">
        <v>0</v>
      </c>
      <c r="ATG19" s="2">
        <v>0</v>
      </c>
      <c r="ATH19" s="2">
        <v>0</v>
      </c>
      <c r="ATJ19" s="1" t="s">
        <v>1789</v>
      </c>
      <c r="ATK19" s="2">
        <v>0</v>
      </c>
      <c r="ATL19" s="2">
        <v>1</v>
      </c>
      <c r="ATM19" s="2">
        <v>1</v>
      </c>
      <c r="ATN19" s="2">
        <v>1</v>
      </c>
      <c r="ATO19" s="2">
        <v>1</v>
      </c>
      <c r="ATP19" s="2">
        <v>0</v>
      </c>
      <c r="ATQ19" s="2">
        <v>0</v>
      </c>
      <c r="ATR19" s="2">
        <v>0</v>
      </c>
      <c r="ATS19" s="2">
        <v>0</v>
      </c>
      <c r="ATT19" s="2">
        <v>0</v>
      </c>
      <c r="ATU19" s="2">
        <v>0</v>
      </c>
      <c r="ATV19" s="2">
        <v>0</v>
      </c>
      <c r="ATW19" s="2">
        <v>0</v>
      </c>
      <c r="ATX19" s="2">
        <v>0</v>
      </c>
      <c r="ATY19" s="2">
        <v>0</v>
      </c>
      <c r="ATZ19" s="2">
        <v>0</v>
      </c>
      <c r="AUA19" s="2">
        <v>0</v>
      </c>
      <c r="AUC19" s="1" t="s">
        <v>1155</v>
      </c>
      <c r="AVG19" s="1" t="s">
        <v>1790</v>
      </c>
      <c r="AVH19" s="2">
        <v>0</v>
      </c>
      <c r="AVI19" s="2">
        <v>0</v>
      </c>
      <c r="AVJ19" s="2">
        <v>1</v>
      </c>
      <c r="AVK19" s="2">
        <v>0</v>
      </c>
      <c r="AVL19" s="2">
        <v>0</v>
      </c>
      <c r="AVM19" s="2">
        <v>0</v>
      </c>
      <c r="AVN19" s="2">
        <v>0</v>
      </c>
      <c r="AVO19" s="2">
        <v>0</v>
      </c>
      <c r="AVP19" s="2">
        <v>0</v>
      </c>
      <c r="AVT19" s="1">
        <v>131017193</v>
      </c>
      <c r="AVU19" s="1" t="s">
        <v>1845</v>
      </c>
      <c r="AVW19" s="1">
        <v>144</v>
      </c>
    </row>
    <row r="20" spans="1:1271" x14ac:dyDescent="0.3">
      <c r="A20" s="1" t="s">
        <v>1805</v>
      </c>
      <c r="B20" s="1" t="s">
        <v>1806</v>
      </c>
      <c r="C20" s="1" t="s">
        <v>1807</v>
      </c>
      <c r="D20" s="1" t="s">
        <v>1689</v>
      </c>
      <c r="E20" s="1" t="s">
        <v>1808</v>
      </c>
      <c r="F20" s="1" t="s">
        <v>1689</v>
      </c>
      <c r="H20" s="2"/>
      <c r="I20" s="1" t="s">
        <v>1659</v>
      </c>
      <c r="J20" s="1" t="s">
        <v>1660</v>
      </c>
      <c r="K20" s="1" t="s">
        <v>1660</v>
      </c>
      <c r="N20" s="1" t="s">
        <v>1389</v>
      </c>
      <c r="O20" s="2">
        <v>0</v>
      </c>
      <c r="P20" s="2">
        <v>0</v>
      </c>
      <c r="Q20" s="2">
        <v>0</v>
      </c>
      <c r="R20" s="2">
        <v>1</v>
      </c>
      <c r="S20" s="2">
        <v>0</v>
      </c>
      <c r="OK20" s="1" t="s">
        <v>1390</v>
      </c>
      <c r="OM20" s="1" t="s">
        <v>2032</v>
      </c>
      <c r="ON20" s="1" t="s">
        <v>1156</v>
      </c>
      <c r="PL20" s="1" t="s">
        <v>1156</v>
      </c>
      <c r="PM20" s="1">
        <v>5</v>
      </c>
      <c r="PN20" s="1" t="s">
        <v>1155</v>
      </c>
      <c r="PQ20" s="1" t="s">
        <v>1156</v>
      </c>
      <c r="PR20" s="1" t="s">
        <v>1156</v>
      </c>
      <c r="PS20" s="1" t="s">
        <v>1391</v>
      </c>
      <c r="PU20" s="1" t="s">
        <v>1155</v>
      </c>
      <c r="PX20" s="1" t="s">
        <v>1155</v>
      </c>
      <c r="PZ20" s="1" t="s">
        <v>2055</v>
      </c>
      <c r="QA20" s="1">
        <v>1</v>
      </c>
      <c r="QB20" s="1">
        <v>1</v>
      </c>
      <c r="QC20" s="1">
        <v>1</v>
      </c>
      <c r="QD20" s="1">
        <v>0</v>
      </c>
      <c r="QE20" s="1">
        <v>0</v>
      </c>
      <c r="QF20" s="1">
        <v>1</v>
      </c>
      <c r="QG20" s="1">
        <v>1</v>
      </c>
      <c r="QH20" s="1">
        <v>0</v>
      </c>
      <c r="QI20" s="57">
        <v>0</v>
      </c>
      <c r="QJ20" s="1">
        <v>1</v>
      </c>
      <c r="QK20" s="1">
        <v>1</v>
      </c>
      <c r="QL20" s="1">
        <v>0</v>
      </c>
      <c r="QM20" s="1">
        <v>0</v>
      </c>
      <c r="QN20" s="1">
        <v>1</v>
      </c>
      <c r="QP20" s="1" t="s">
        <v>1156</v>
      </c>
      <c r="QQ20" s="1" t="s">
        <v>1809</v>
      </c>
      <c r="QR20" s="1">
        <v>0</v>
      </c>
      <c r="QS20" s="1">
        <v>1</v>
      </c>
      <c r="QT20" s="1">
        <v>0</v>
      </c>
      <c r="QU20" s="1">
        <v>1</v>
      </c>
      <c r="QV20" s="1">
        <v>1</v>
      </c>
      <c r="QW20" s="1">
        <v>1</v>
      </c>
      <c r="QX20" s="1" t="s">
        <v>2059</v>
      </c>
      <c r="QY20" s="1" t="s">
        <v>1155</v>
      </c>
      <c r="RG20" s="1">
        <v>60</v>
      </c>
      <c r="RH20" s="1" t="s">
        <v>1156</v>
      </c>
      <c r="RI20" s="1" t="s">
        <v>1157</v>
      </c>
      <c r="RJ20" s="1" t="s">
        <v>1810</v>
      </c>
      <c r="RK20" s="1">
        <v>0</v>
      </c>
      <c r="RL20" s="1">
        <v>0</v>
      </c>
      <c r="RM20" s="1">
        <v>0</v>
      </c>
      <c r="RN20" s="1">
        <v>0</v>
      </c>
      <c r="RO20" s="1">
        <v>1</v>
      </c>
      <c r="RP20" s="1">
        <v>0</v>
      </c>
      <c r="RQ20" s="1">
        <v>0</v>
      </c>
      <c r="RR20" s="1">
        <v>0</v>
      </c>
      <c r="RS20" s="1">
        <v>0</v>
      </c>
      <c r="RT20" s="1">
        <v>1</v>
      </c>
      <c r="RU20" s="1" t="s">
        <v>1811</v>
      </c>
      <c r="SE20" s="1" t="s">
        <v>1812</v>
      </c>
      <c r="SF20" s="57">
        <v>35</v>
      </c>
      <c r="SG20" s="1">
        <v>1</v>
      </c>
      <c r="SH20" s="1">
        <v>1</v>
      </c>
      <c r="SI20" s="1">
        <v>0</v>
      </c>
      <c r="SJ20" s="1">
        <v>0</v>
      </c>
      <c r="SK20" s="1">
        <v>0</v>
      </c>
      <c r="SL20" s="1">
        <v>6</v>
      </c>
      <c r="SM20" s="1">
        <v>6</v>
      </c>
      <c r="SN20" s="1" t="s">
        <v>1188</v>
      </c>
      <c r="SO20" s="1">
        <v>1</v>
      </c>
      <c r="SP20" s="1">
        <v>0</v>
      </c>
      <c r="SQ20" s="1">
        <v>0</v>
      </c>
      <c r="SR20" s="1">
        <v>0</v>
      </c>
      <c r="SS20" s="1">
        <v>0</v>
      </c>
      <c r="ST20" s="1">
        <v>0</v>
      </c>
      <c r="SU20" s="1">
        <v>0</v>
      </c>
      <c r="SV20" s="1">
        <v>0</v>
      </c>
      <c r="SW20" s="1">
        <v>0</v>
      </c>
      <c r="SX20" s="1">
        <v>0</v>
      </c>
      <c r="SY20" s="1">
        <v>0</v>
      </c>
      <c r="SZ20" s="1">
        <v>0</v>
      </c>
      <c r="TB20" s="1" t="s">
        <v>1155</v>
      </c>
      <c r="TJ20" s="1" t="s">
        <v>2066</v>
      </c>
      <c r="UF20" s="1" t="s">
        <v>1164</v>
      </c>
      <c r="UG20" s="1">
        <v>0</v>
      </c>
      <c r="UH20" s="1">
        <v>0</v>
      </c>
      <c r="UI20" s="1">
        <v>0</v>
      </c>
      <c r="UJ20" s="1">
        <v>0</v>
      </c>
      <c r="UK20" s="1">
        <v>1</v>
      </c>
      <c r="UM20" s="1" t="s">
        <v>1171</v>
      </c>
      <c r="UO20" s="1" t="s">
        <v>1156</v>
      </c>
      <c r="UP20" s="1" t="s">
        <v>1813</v>
      </c>
      <c r="UQ20" s="1">
        <v>1</v>
      </c>
      <c r="UR20" s="1">
        <v>0</v>
      </c>
      <c r="US20" s="1">
        <v>1</v>
      </c>
      <c r="UT20" s="1">
        <v>1</v>
      </c>
      <c r="UU20" s="1">
        <v>0</v>
      </c>
      <c r="UV20" s="1">
        <v>1</v>
      </c>
      <c r="UW20" s="1">
        <v>1</v>
      </c>
      <c r="UX20" s="1">
        <v>1</v>
      </c>
      <c r="UY20" s="1">
        <v>1</v>
      </c>
      <c r="UZ20" s="1">
        <v>0</v>
      </c>
      <c r="VA20" s="1">
        <v>1</v>
      </c>
      <c r="VB20" s="1">
        <v>1</v>
      </c>
      <c r="VC20" s="1">
        <v>0</v>
      </c>
      <c r="VD20" s="1">
        <v>0</v>
      </c>
      <c r="VE20" s="1">
        <v>0</v>
      </c>
      <c r="VF20" s="1">
        <v>0</v>
      </c>
      <c r="VH20" s="1" t="s">
        <v>1814</v>
      </c>
      <c r="VI20" s="1">
        <v>0</v>
      </c>
      <c r="VJ20" s="1">
        <v>1</v>
      </c>
      <c r="VK20" s="1">
        <v>0</v>
      </c>
      <c r="VL20" s="1">
        <v>0</v>
      </c>
      <c r="VM20" s="1">
        <v>1</v>
      </c>
      <c r="VN20" s="1">
        <v>0</v>
      </c>
      <c r="VO20" s="1">
        <v>0</v>
      </c>
      <c r="VP20" s="1">
        <v>0</v>
      </c>
      <c r="VQ20" s="1">
        <v>0</v>
      </c>
      <c r="VR20" s="1">
        <v>0</v>
      </c>
      <c r="VS20" s="1">
        <v>0</v>
      </c>
      <c r="VT20" s="1">
        <v>0</v>
      </c>
      <c r="VU20" s="1">
        <v>0</v>
      </c>
      <c r="VW20" s="1" t="s">
        <v>1156</v>
      </c>
      <c r="VX20" s="1" t="s">
        <v>2080</v>
      </c>
      <c r="VY20" s="1">
        <v>0</v>
      </c>
      <c r="VZ20" s="1">
        <v>0</v>
      </c>
      <c r="WA20" s="1">
        <v>1</v>
      </c>
      <c r="WB20" s="1">
        <v>0</v>
      </c>
      <c r="WC20" s="1">
        <v>0</v>
      </c>
      <c r="WD20" s="1">
        <v>0</v>
      </c>
      <c r="WE20" s="1">
        <v>1</v>
      </c>
      <c r="WF20" s="1" t="s">
        <v>2079</v>
      </c>
      <c r="WG20" s="1" t="s">
        <v>1388</v>
      </c>
      <c r="WH20" s="1">
        <v>1</v>
      </c>
      <c r="WI20" s="1">
        <v>0</v>
      </c>
      <c r="WJ20" s="1">
        <v>0</v>
      </c>
      <c r="WK20" s="1">
        <v>0</v>
      </c>
      <c r="WL20" s="1">
        <v>0</v>
      </c>
      <c r="WM20" s="1">
        <v>0</v>
      </c>
      <c r="WN20" s="1">
        <v>0</v>
      </c>
      <c r="WO20" s="1">
        <v>0</v>
      </c>
      <c r="WP20" s="1">
        <v>0</v>
      </c>
      <c r="WQ20" s="1">
        <v>0</v>
      </c>
      <c r="WR20" s="1">
        <v>0</v>
      </c>
      <c r="WS20" s="1">
        <v>0</v>
      </c>
      <c r="WT20" s="1">
        <v>0</v>
      </c>
      <c r="WV20" s="1" t="s">
        <v>1155</v>
      </c>
      <c r="WW20" s="1" t="s">
        <v>1175</v>
      </c>
      <c r="WX20" s="1">
        <v>1</v>
      </c>
      <c r="WY20" s="1">
        <v>1</v>
      </c>
      <c r="WZ20" s="1">
        <v>0</v>
      </c>
      <c r="XA20" s="1">
        <v>0</v>
      </c>
      <c r="XB20" s="1">
        <v>0</v>
      </c>
      <c r="XD20" s="1" t="s">
        <v>1815</v>
      </c>
      <c r="XE20" s="1">
        <v>0</v>
      </c>
      <c r="XF20" s="1">
        <v>1</v>
      </c>
      <c r="XG20" s="1">
        <v>0</v>
      </c>
      <c r="XH20" s="1">
        <v>1</v>
      </c>
      <c r="XI20" s="1">
        <v>1</v>
      </c>
      <c r="XJ20" s="1">
        <v>1</v>
      </c>
      <c r="XK20" s="1">
        <v>1</v>
      </c>
      <c r="XL20" s="1">
        <v>1</v>
      </c>
      <c r="XM20" s="1">
        <v>0</v>
      </c>
      <c r="XN20" s="1">
        <v>0</v>
      </c>
      <c r="XO20" s="1">
        <v>0</v>
      </c>
      <c r="XP20" s="1">
        <v>0</v>
      </c>
      <c r="XQ20" s="1">
        <v>0</v>
      </c>
      <c r="XT20" s="1" t="s">
        <v>1156</v>
      </c>
      <c r="XU20" s="1" t="s">
        <v>1530</v>
      </c>
      <c r="XV20" s="1">
        <v>1</v>
      </c>
      <c r="XW20" s="1">
        <v>1</v>
      </c>
      <c r="XX20" s="1">
        <v>1</v>
      </c>
      <c r="XY20" s="1">
        <v>1</v>
      </c>
      <c r="XZ20" s="1">
        <v>1</v>
      </c>
      <c r="YA20" s="1">
        <v>1</v>
      </c>
      <c r="YB20" s="1">
        <v>0</v>
      </c>
      <c r="YC20" s="1">
        <v>0</v>
      </c>
      <c r="YE20" s="1" t="s">
        <v>1155</v>
      </c>
      <c r="YF20" s="1" t="s">
        <v>1155</v>
      </c>
      <c r="YH20" s="1" t="s">
        <v>1156</v>
      </c>
      <c r="YI20" s="1" t="s">
        <v>1816</v>
      </c>
      <c r="YJ20" s="1">
        <v>1</v>
      </c>
      <c r="YK20" s="1">
        <v>1</v>
      </c>
      <c r="YL20" s="1">
        <v>1</v>
      </c>
      <c r="YM20" s="1">
        <v>0</v>
      </c>
      <c r="YN20" s="1">
        <v>0</v>
      </c>
      <c r="YO20" s="1">
        <v>0</v>
      </c>
      <c r="YP20" s="1">
        <v>0</v>
      </c>
      <c r="YQ20" s="1">
        <v>0</v>
      </c>
      <c r="YS20" s="1" t="s">
        <v>1155</v>
      </c>
      <c r="ZA20" s="1" t="s">
        <v>1156</v>
      </c>
      <c r="ZB20" s="1">
        <v>1</v>
      </c>
      <c r="ZF20" s="1" t="s">
        <v>1156</v>
      </c>
      <c r="ZG20" s="1" t="s">
        <v>1162</v>
      </c>
      <c r="ZK20" s="1" t="s">
        <v>1155</v>
      </c>
      <c r="ZL20" s="1" t="s">
        <v>1156</v>
      </c>
      <c r="ZM20" s="1" t="s">
        <v>1155</v>
      </c>
      <c r="ZN20" s="1" t="s">
        <v>1155</v>
      </c>
      <c r="ZO20" s="1" t="s">
        <v>1156</v>
      </c>
      <c r="ZP20" s="1">
        <v>10</v>
      </c>
      <c r="ZQ20" s="1" t="s">
        <v>1155</v>
      </c>
      <c r="ABS20" s="1"/>
      <c r="ADK20" s="1"/>
      <c r="AIS20" s="1"/>
      <c r="ALO20" s="2"/>
      <c r="ALP20" s="2"/>
      <c r="ALQ20" s="2"/>
      <c r="ALR20" s="2"/>
      <c r="ALS20" s="2"/>
      <c r="ALT20" s="2"/>
      <c r="ALU20" s="2"/>
      <c r="ALV20" s="2"/>
      <c r="ALY20" s="2"/>
      <c r="ALZ20" s="2"/>
      <c r="AMA20" s="2"/>
      <c r="AMB20" s="2"/>
      <c r="AMC20" s="2"/>
      <c r="AMD20" s="2"/>
      <c r="AME20" s="2"/>
      <c r="AMG20" s="2"/>
      <c r="AMH20" s="2"/>
      <c r="AMI20" s="2"/>
      <c r="AMJ20" s="2"/>
      <c r="AMK20" s="2"/>
      <c r="AMN20" s="2"/>
      <c r="AMP20" s="2"/>
      <c r="AMQ20" s="2"/>
      <c r="AMR20" s="2"/>
      <c r="AMS20" s="2"/>
      <c r="AMT20" s="2"/>
      <c r="AMU20" s="2"/>
      <c r="AMW20" s="2"/>
      <c r="ANL20" s="2"/>
      <c r="ANM20" s="2"/>
      <c r="ANN20" s="2"/>
      <c r="ANO20" s="2"/>
      <c r="ANP20" s="58"/>
      <c r="ANQ20" s="2"/>
      <c r="ANR20" s="2"/>
      <c r="ANS20" s="2"/>
      <c r="ANT20" s="2"/>
      <c r="ANU20" s="2"/>
      <c r="ANV20" s="2"/>
      <c r="ANY20" s="2"/>
      <c r="AOA20" s="2"/>
      <c r="AOB20" s="2"/>
      <c r="AOC20" s="2"/>
      <c r="AOD20" s="2"/>
      <c r="AOE20" s="2"/>
      <c r="AOF20" s="2"/>
      <c r="AOG20" s="2"/>
      <c r="AOH20" s="2"/>
      <c r="AOP20" s="2"/>
      <c r="AOQ20" s="2"/>
      <c r="AOR20" s="2"/>
      <c r="AOS20" s="2"/>
      <c r="AOT20" s="2"/>
      <c r="AOU20" s="2"/>
      <c r="AOV20" s="2"/>
      <c r="AOW20" s="2"/>
      <c r="APR20" s="2"/>
      <c r="APS20" s="2"/>
      <c r="APT20" s="2"/>
      <c r="APU20" s="2"/>
      <c r="APV20" s="2"/>
      <c r="APW20" s="2"/>
      <c r="APX20" s="2"/>
      <c r="AQA20" s="2"/>
      <c r="AQB20" s="2"/>
      <c r="AQC20" s="2"/>
      <c r="AQD20" s="2"/>
      <c r="AQE20" s="2"/>
      <c r="AQF20" s="2"/>
      <c r="AQN20" s="2"/>
      <c r="ARD20" s="82"/>
      <c r="ARH20" s="2"/>
      <c r="ARI20" s="2"/>
      <c r="ARJ20" s="2"/>
      <c r="ARK20" s="58"/>
      <c r="ARL20" s="2"/>
      <c r="ARM20" s="2"/>
      <c r="ARN20" s="2"/>
      <c r="ARO20" s="2"/>
      <c r="ARP20" s="2"/>
      <c r="ARQ20" s="2"/>
      <c r="ARR20" s="2"/>
      <c r="ARS20" s="2"/>
      <c r="ARV20" s="2"/>
      <c r="ARW20" s="2"/>
      <c r="ARX20" s="2"/>
      <c r="ARY20" s="2"/>
      <c r="ARZ20" s="2"/>
      <c r="ASA20" s="2"/>
      <c r="ASB20" s="2"/>
      <c r="ASF20" s="2"/>
      <c r="ASG20" s="2"/>
      <c r="ASH20" s="2"/>
      <c r="ASI20" s="2"/>
      <c r="ASJ20" s="2"/>
      <c r="ASK20" s="2"/>
      <c r="ASL20" s="2"/>
      <c r="ASO20" s="2"/>
      <c r="ASP20" s="2"/>
      <c r="ASQ20" s="2"/>
      <c r="AVT20" s="1">
        <v>131017630</v>
      </c>
      <c r="AVU20" s="1" t="s">
        <v>1849</v>
      </c>
      <c r="AVW20" s="1">
        <v>145</v>
      </c>
    </row>
    <row r="21" spans="1:1271" x14ac:dyDescent="0.3">
      <c r="A21" s="1" t="s">
        <v>3383</v>
      </c>
      <c r="B21" s="1" t="s">
        <v>1818</v>
      </c>
      <c r="C21" s="1" t="s">
        <v>1819</v>
      </c>
      <c r="D21" s="1" t="s">
        <v>1689</v>
      </c>
      <c r="E21" s="1" t="s">
        <v>1808</v>
      </c>
      <c r="F21" s="1" t="s">
        <v>1689</v>
      </c>
      <c r="H21" s="2"/>
      <c r="I21" s="1" t="s">
        <v>1659</v>
      </c>
      <c r="J21" s="1" t="s">
        <v>1660</v>
      </c>
      <c r="K21" s="1" t="s">
        <v>1660</v>
      </c>
      <c r="N21" s="1" t="s">
        <v>1389</v>
      </c>
      <c r="O21" s="2">
        <v>0</v>
      </c>
      <c r="P21" s="2">
        <v>0</v>
      </c>
      <c r="Q21" s="2">
        <v>0</v>
      </c>
      <c r="R21" s="2">
        <v>1</v>
      </c>
      <c r="S21" s="2">
        <v>0</v>
      </c>
      <c r="OK21" s="1" t="s">
        <v>1386</v>
      </c>
      <c r="OM21" s="1" t="s">
        <v>1820</v>
      </c>
      <c r="ON21" s="1" t="s">
        <v>1156</v>
      </c>
      <c r="PL21" s="1" t="s">
        <v>1156</v>
      </c>
      <c r="PM21" s="1">
        <v>1</v>
      </c>
      <c r="PN21" s="1" t="s">
        <v>1155</v>
      </c>
      <c r="PQ21" s="1" t="s">
        <v>1155</v>
      </c>
      <c r="PR21" s="1" t="s">
        <v>1155</v>
      </c>
      <c r="PU21" s="1" t="s">
        <v>1155</v>
      </c>
      <c r="PX21" s="1" t="s">
        <v>1156</v>
      </c>
      <c r="PY21" s="1" t="s">
        <v>1516</v>
      </c>
      <c r="PZ21" s="1" t="s">
        <v>1821</v>
      </c>
      <c r="QA21" s="1">
        <v>1</v>
      </c>
      <c r="QB21" s="1">
        <v>1</v>
      </c>
      <c r="QC21" s="1">
        <v>1</v>
      </c>
      <c r="QD21" s="1">
        <v>0</v>
      </c>
      <c r="QE21" s="1">
        <v>0</v>
      </c>
      <c r="QF21" s="1">
        <v>1</v>
      </c>
      <c r="QG21" s="1">
        <v>1</v>
      </c>
      <c r="QH21" s="1">
        <v>0</v>
      </c>
      <c r="QI21" s="57">
        <v>0</v>
      </c>
      <c r="QJ21" s="1">
        <v>1</v>
      </c>
      <c r="QK21" s="1">
        <v>1</v>
      </c>
      <c r="QL21" s="1">
        <v>0</v>
      </c>
      <c r="QM21" s="1">
        <v>0</v>
      </c>
      <c r="QN21" s="1">
        <v>0</v>
      </c>
      <c r="QP21" s="1" t="s">
        <v>1156</v>
      </c>
      <c r="QQ21" s="1" t="s">
        <v>1822</v>
      </c>
      <c r="QR21" s="1">
        <v>1</v>
      </c>
      <c r="QS21" s="1">
        <v>1</v>
      </c>
      <c r="QT21" s="1">
        <v>0</v>
      </c>
      <c r="QU21" s="1">
        <v>1</v>
      </c>
      <c r="QV21" s="1">
        <v>1</v>
      </c>
      <c r="QW21" s="1">
        <v>1</v>
      </c>
      <c r="QX21" s="1" t="s">
        <v>1823</v>
      </c>
      <c r="QY21" s="1" t="s">
        <v>1155</v>
      </c>
      <c r="RG21" s="1">
        <v>10</v>
      </c>
      <c r="RH21" s="1" t="s">
        <v>1156</v>
      </c>
      <c r="RI21" s="1" t="s">
        <v>1186</v>
      </c>
      <c r="RJ21" s="1" t="s">
        <v>1154</v>
      </c>
      <c r="RK21" s="1">
        <v>0</v>
      </c>
      <c r="RL21" s="1">
        <v>0</v>
      </c>
      <c r="RM21" s="1">
        <v>0</v>
      </c>
      <c r="RN21" s="1">
        <v>0</v>
      </c>
      <c r="RO21" s="1">
        <v>0</v>
      </c>
      <c r="RP21" s="1">
        <v>0</v>
      </c>
      <c r="RQ21" s="1">
        <v>0</v>
      </c>
      <c r="RR21" s="1">
        <v>0</v>
      </c>
      <c r="RS21" s="1">
        <v>0</v>
      </c>
      <c r="RT21" s="1">
        <v>1</v>
      </c>
      <c r="RU21" s="1" t="s">
        <v>1824</v>
      </c>
      <c r="SE21" s="1" t="s">
        <v>1387</v>
      </c>
      <c r="SF21" s="1">
        <v>8</v>
      </c>
      <c r="SG21" s="1">
        <v>0</v>
      </c>
      <c r="SH21" s="1">
        <v>1</v>
      </c>
      <c r="SI21" s="1">
        <v>0</v>
      </c>
      <c r="SJ21" s="1">
        <v>0</v>
      </c>
      <c r="SK21" s="1">
        <v>0</v>
      </c>
      <c r="SL21" s="1">
        <v>7</v>
      </c>
      <c r="SM21" s="1">
        <v>0</v>
      </c>
      <c r="SN21" s="1" t="s">
        <v>1159</v>
      </c>
      <c r="SO21" s="1">
        <v>0</v>
      </c>
      <c r="SP21" s="1">
        <v>0</v>
      </c>
      <c r="SQ21" s="1">
        <v>1</v>
      </c>
      <c r="SR21" s="1">
        <v>0</v>
      </c>
      <c r="SS21" s="1">
        <v>0</v>
      </c>
      <c r="ST21" s="1">
        <v>0</v>
      </c>
      <c r="SU21" s="1">
        <v>0</v>
      </c>
      <c r="SV21" s="1">
        <v>0</v>
      </c>
      <c r="SW21" s="1">
        <v>0</v>
      </c>
      <c r="SX21" s="1">
        <v>0</v>
      </c>
      <c r="SY21" s="1">
        <v>0</v>
      </c>
      <c r="SZ21" s="1">
        <v>0</v>
      </c>
      <c r="TB21" s="1" t="s">
        <v>1155</v>
      </c>
      <c r="TJ21" s="1" t="s">
        <v>2066</v>
      </c>
      <c r="UF21" s="1" t="s">
        <v>1164</v>
      </c>
      <c r="UG21" s="1">
        <v>0</v>
      </c>
      <c r="UH21" s="1">
        <v>0</v>
      </c>
      <c r="UI21" s="1">
        <v>0</v>
      </c>
      <c r="UJ21" s="1">
        <v>0</v>
      </c>
      <c r="UK21" s="1">
        <v>1</v>
      </c>
      <c r="UM21" s="1" t="s">
        <v>1171</v>
      </c>
      <c r="UO21" s="1" t="s">
        <v>1155</v>
      </c>
      <c r="UP21" s="1" t="s">
        <v>1825</v>
      </c>
      <c r="UQ21" s="1">
        <v>1</v>
      </c>
      <c r="UR21" s="1">
        <v>0</v>
      </c>
      <c r="US21" s="1">
        <v>1</v>
      </c>
      <c r="UT21" s="1">
        <v>0</v>
      </c>
      <c r="UU21" s="1">
        <v>0</v>
      </c>
      <c r="UV21" s="1">
        <v>1</v>
      </c>
      <c r="UW21" s="1">
        <v>1</v>
      </c>
      <c r="UX21" s="1">
        <v>0</v>
      </c>
      <c r="UY21" s="1">
        <v>1</v>
      </c>
      <c r="UZ21" s="1">
        <v>1</v>
      </c>
      <c r="VA21" s="1">
        <v>0</v>
      </c>
      <c r="VB21" s="1">
        <v>0</v>
      </c>
      <c r="VC21" s="1">
        <v>0</v>
      </c>
      <c r="VD21" s="1">
        <v>0</v>
      </c>
      <c r="VE21" s="1">
        <v>0</v>
      </c>
      <c r="VF21" s="1">
        <v>0</v>
      </c>
      <c r="VH21" s="1" t="s">
        <v>1188</v>
      </c>
      <c r="VI21" s="1">
        <v>0</v>
      </c>
      <c r="VJ21" s="1">
        <v>1</v>
      </c>
      <c r="VK21" s="1">
        <v>0</v>
      </c>
      <c r="VL21" s="1">
        <v>0</v>
      </c>
      <c r="VM21" s="1">
        <v>0</v>
      </c>
      <c r="VN21" s="1">
        <v>0</v>
      </c>
      <c r="VO21" s="1">
        <v>0</v>
      </c>
      <c r="VP21" s="1">
        <v>0</v>
      </c>
      <c r="VQ21" s="1">
        <v>0</v>
      </c>
      <c r="VR21" s="1">
        <v>0</v>
      </c>
      <c r="VS21" s="1">
        <v>0</v>
      </c>
      <c r="VT21" s="1">
        <v>0</v>
      </c>
      <c r="VU21" s="1">
        <v>0</v>
      </c>
      <c r="VW21" s="1" t="s">
        <v>1156</v>
      </c>
      <c r="VX21" s="1" t="s">
        <v>1158</v>
      </c>
      <c r="VY21" s="1">
        <v>0</v>
      </c>
      <c r="VZ21" s="1">
        <v>0</v>
      </c>
      <c r="WA21" s="1">
        <v>0</v>
      </c>
      <c r="WB21" s="1">
        <v>0</v>
      </c>
      <c r="WC21" s="1">
        <v>1</v>
      </c>
      <c r="WD21" s="1">
        <v>0</v>
      </c>
      <c r="WE21" s="1">
        <v>0</v>
      </c>
      <c r="WG21" s="1" t="s">
        <v>1388</v>
      </c>
      <c r="WH21" s="1">
        <v>1</v>
      </c>
      <c r="WI21" s="1">
        <v>0</v>
      </c>
      <c r="WJ21" s="1">
        <v>0</v>
      </c>
      <c r="WK21" s="1">
        <v>0</v>
      </c>
      <c r="WL21" s="1">
        <v>0</v>
      </c>
      <c r="WM21" s="1">
        <v>0</v>
      </c>
      <c r="WN21" s="1">
        <v>0</v>
      </c>
      <c r="WO21" s="1">
        <v>0</v>
      </c>
      <c r="WP21" s="1">
        <v>0</v>
      </c>
      <c r="WQ21" s="1">
        <v>0</v>
      </c>
      <c r="WR21" s="1">
        <v>0</v>
      </c>
      <c r="WS21" s="1">
        <v>0</v>
      </c>
      <c r="WT21" s="1">
        <v>0</v>
      </c>
      <c r="WV21" s="1" t="s">
        <v>1156</v>
      </c>
      <c r="XD21" s="1" t="s">
        <v>1826</v>
      </c>
      <c r="XE21" s="1">
        <v>0</v>
      </c>
      <c r="XF21" s="1">
        <v>0</v>
      </c>
      <c r="XG21" s="1">
        <v>0</v>
      </c>
      <c r="XH21" s="1">
        <v>1</v>
      </c>
      <c r="XI21" s="1">
        <v>0</v>
      </c>
      <c r="XJ21" s="1">
        <v>1</v>
      </c>
      <c r="XK21" s="1">
        <v>0</v>
      </c>
      <c r="XL21" s="1">
        <v>0</v>
      </c>
      <c r="XM21" s="1">
        <v>0</v>
      </c>
      <c r="XN21" s="1">
        <v>0</v>
      </c>
      <c r="XO21" s="1">
        <v>0</v>
      </c>
      <c r="XP21" s="1">
        <v>0</v>
      </c>
      <c r="XQ21" s="1">
        <v>0</v>
      </c>
      <c r="XT21" s="1" t="s">
        <v>1156</v>
      </c>
      <c r="XU21" s="1" t="s">
        <v>1827</v>
      </c>
      <c r="XV21" s="1">
        <v>0</v>
      </c>
      <c r="XW21" s="1">
        <v>0</v>
      </c>
      <c r="XX21" s="1">
        <v>0</v>
      </c>
      <c r="XY21" s="1">
        <v>0</v>
      </c>
      <c r="XZ21" s="1">
        <v>1</v>
      </c>
      <c r="YA21" s="1">
        <v>0</v>
      </c>
      <c r="YB21" s="1">
        <v>0</v>
      </c>
      <c r="YC21" s="1">
        <v>0</v>
      </c>
      <c r="YE21" s="1" t="s">
        <v>1155</v>
      </c>
      <c r="YF21" s="1" t="s">
        <v>1155</v>
      </c>
      <c r="YH21" s="1" t="s">
        <v>1155</v>
      </c>
      <c r="ZA21" s="1" t="s">
        <v>1155</v>
      </c>
      <c r="ZC21" s="1">
        <v>45</v>
      </c>
      <c r="ZD21" s="1" t="s">
        <v>1160</v>
      </c>
      <c r="ZF21" s="1" t="s">
        <v>1155</v>
      </c>
      <c r="ZH21" s="1">
        <v>45</v>
      </c>
      <c r="ZI21" s="1" t="s">
        <v>1160</v>
      </c>
      <c r="ZK21" s="1" t="s">
        <v>1155</v>
      </c>
      <c r="ZL21" s="1" t="s">
        <v>1156</v>
      </c>
      <c r="ZM21" s="1" t="s">
        <v>1156</v>
      </c>
      <c r="ZN21" s="1" t="s">
        <v>1155</v>
      </c>
      <c r="ZO21" s="1" t="s">
        <v>1156</v>
      </c>
      <c r="ZP21" s="1">
        <v>3</v>
      </c>
      <c r="ZQ21" s="1" t="s">
        <v>1155</v>
      </c>
      <c r="ABS21" s="1"/>
      <c r="ADK21" s="1"/>
      <c r="AIS21" s="1"/>
      <c r="ALO21" s="2"/>
      <c r="ALP21" s="2"/>
      <c r="ALQ21" s="2"/>
      <c r="ALR21" s="2"/>
      <c r="ALS21" s="2"/>
      <c r="ALT21" s="2"/>
      <c r="ALU21" s="2"/>
      <c r="ALV21" s="2"/>
      <c r="ALY21" s="2"/>
      <c r="ALZ21" s="2"/>
      <c r="AMA21" s="2"/>
      <c r="AMB21" s="2"/>
      <c r="AMC21" s="2"/>
      <c r="AMD21" s="2"/>
      <c r="AME21" s="2"/>
      <c r="AMG21" s="2"/>
      <c r="AMH21" s="2"/>
      <c r="AMI21" s="2"/>
      <c r="AMJ21" s="2"/>
      <c r="AMK21" s="2"/>
      <c r="AMN21" s="2"/>
      <c r="AMP21" s="2"/>
      <c r="AMQ21" s="2"/>
      <c r="AMR21" s="2"/>
      <c r="AMS21" s="2"/>
      <c r="AMT21" s="2"/>
      <c r="AMU21" s="2"/>
      <c r="AMW21" s="2"/>
      <c r="ANL21" s="2"/>
      <c r="ANM21" s="2"/>
      <c r="ANN21" s="2"/>
      <c r="ANO21" s="2"/>
      <c r="ANP21" s="58"/>
      <c r="ANQ21" s="2"/>
      <c r="ANR21" s="2"/>
      <c r="ANS21" s="2"/>
      <c r="ANT21" s="2"/>
      <c r="ANU21" s="2"/>
      <c r="ANV21" s="2"/>
      <c r="ANY21" s="2"/>
      <c r="AOA21" s="2"/>
      <c r="AOB21" s="2"/>
      <c r="AOC21" s="2"/>
      <c r="AOD21" s="2"/>
      <c r="AOE21" s="2"/>
      <c r="AOF21" s="2"/>
      <c r="AOG21" s="2"/>
      <c r="AOH21" s="2"/>
      <c r="AOP21" s="2"/>
      <c r="AOQ21" s="2"/>
      <c r="AOR21" s="2"/>
      <c r="AOS21" s="2"/>
      <c r="AOT21" s="2"/>
      <c r="AOU21" s="2"/>
      <c r="AOV21" s="2"/>
      <c r="AOW21" s="2"/>
      <c r="APR21" s="2"/>
      <c r="APS21" s="2"/>
      <c r="APT21" s="2"/>
      <c r="APU21" s="2"/>
      <c r="APV21" s="2"/>
      <c r="APW21" s="2"/>
      <c r="APX21" s="2"/>
      <c r="AQA21" s="2"/>
      <c r="AQB21" s="2"/>
      <c r="AQC21" s="2"/>
      <c r="AQD21" s="2"/>
      <c r="AQE21" s="2"/>
      <c r="AQF21" s="2"/>
      <c r="AQN21" s="2"/>
      <c r="ARD21" s="82"/>
      <c r="ARH21" s="2"/>
      <c r="ARI21" s="2"/>
      <c r="ARJ21" s="2"/>
      <c r="ARK21" s="58"/>
      <c r="ARL21" s="2"/>
      <c r="ARM21" s="2"/>
      <c r="ARN21" s="2"/>
      <c r="ARO21" s="2"/>
      <c r="ARP21" s="2"/>
      <c r="ARQ21" s="2"/>
      <c r="ARR21" s="2"/>
      <c r="ARS21" s="2"/>
      <c r="ARV21" s="2"/>
      <c r="ARW21" s="2"/>
      <c r="ARX21" s="2"/>
      <c r="ARY21" s="2"/>
      <c r="ARZ21" s="2"/>
      <c r="ASA21" s="2"/>
      <c r="ASB21" s="2"/>
      <c r="ASF21" s="2"/>
      <c r="ASG21" s="2"/>
      <c r="ASH21" s="2"/>
      <c r="ASI21" s="2"/>
      <c r="ASJ21" s="2"/>
      <c r="ASK21" s="2"/>
      <c r="ASL21" s="2"/>
      <c r="ASO21" s="2"/>
      <c r="ASP21" s="2"/>
      <c r="ASQ21" s="2"/>
      <c r="AVT21" s="1">
        <v>131019010</v>
      </c>
      <c r="AVU21" s="1" t="s">
        <v>1855</v>
      </c>
      <c r="AVW21" s="1">
        <v>146</v>
      </c>
    </row>
    <row r="22" spans="1:1271" x14ac:dyDescent="0.3">
      <c r="ABS22" s="1"/>
      <c r="ADK22" s="1"/>
      <c r="AIS22" s="1"/>
      <c r="ANP22" s="1"/>
      <c r="ARK22" s="1"/>
    </row>
    <row r="23" spans="1:1271" x14ac:dyDescent="0.3">
      <c r="ABS23" s="1"/>
      <c r="ADK23" s="1"/>
      <c r="AIS23" s="1"/>
      <c r="ANP23" s="1"/>
      <c r="ARK23" s="1"/>
    </row>
    <row r="24" spans="1:1271" x14ac:dyDescent="0.3">
      <c r="ABS24" s="1"/>
      <c r="ADK24" s="1"/>
      <c r="AIS24" s="1"/>
      <c r="ANP24" s="1"/>
      <c r="ARK24" s="1"/>
    </row>
    <row r="25" spans="1:1271" x14ac:dyDescent="0.3">
      <c r="ABS25" s="1"/>
      <c r="ADK25" s="1"/>
      <c r="AIS25" s="1"/>
      <c r="ANP25" s="1"/>
      <c r="ARK25" s="1"/>
    </row>
    <row r="26" spans="1:1271" x14ac:dyDescent="0.3">
      <c r="ABS26" s="1"/>
      <c r="ADK26" s="1"/>
      <c r="AIS26" s="1"/>
      <c r="ANP26" s="1"/>
      <c r="ARK26" s="1"/>
    </row>
    <row r="27" spans="1:1271" x14ac:dyDescent="0.3">
      <c r="ABS27" s="1"/>
      <c r="ADK27" s="1"/>
      <c r="AIS27" s="1"/>
      <c r="ANP27" s="1"/>
      <c r="ARK27" s="1"/>
    </row>
    <row r="28" spans="1:1271" x14ac:dyDescent="0.3">
      <c r="ABS28" s="1"/>
      <c r="ADK28" s="1"/>
      <c r="AIS28" s="1"/>
      <c r="ANP28" s="1"/>
      <c r="ARK28" s="1"/>
    </row>
    <row r="29" spans="1:1271" x14ac:dyDescent="0.3">
      <c r="ABS29" s="1"/>
      <c r="ADK29" s="1"/>
      <c r="AIS29" s="1"/>
      <c r="ANP29" s="1"/>
      <c r="ARK29" s="1"/>
    </row>
    <row r="30" spans="1:1271" x14ac:dyDescent="0.3">
      <c r="ABS30" s="1"/>
      <c r="ADK30" s="1"/>
      <c r="AIS30" s="1"/>
      <c r="ANP30" s="1"/>
      <c r="ARK30" s="1"/>
    </row>
    <row r="31" spans="1:1271" x14ac:dyDescent="0.3">
      <c r="ABS31" s="1"/>
      <c r="ADK31" s="1"/>
      <c r="AIS31" s="1"/>
      <c r="ANP31" s="1"/>
      <c r="ARK31" s="1"/>
    </row>
    <row r="32" spans="1:1271" x14ac:dyDescent="0.3">
      <c r="ABS32" s="1"/>
      <c r="ADK32" s="1"/>
      <c r="AIS32" s="1"/>
      <c r="ANP32" s="1"/>
      <c r="ARK32" s="1"/>
    </row>
    <row r="33" spans="747:929 1056:1155" x14ac:dyDescent="0.3">
      <c r="ABS33" s="1"/>
      <c r="ADK33" s="1"/>
      <c r="AIS33" s="1"/>
      <c r="ANP33" s="1"/>
      <c r="ARK33" s="1"/>
    </row>
    <row r="34" spans="747:929 1056:1155" x14ac:dyDescent="0.3">
      <c r="ABS34" s="1"/>
      <c r="ADK34" s="1"/>
      <c r="AIS34" s="1"/>
      <c r="ANP34" s="1"/>
      <c r="ARK34" s="1"/>
    </row>
    <row r="35" spans="747:929 1056:1155" x14ac:dyDescent="0.3">
      <c r="ABS35" s="1"/>
      <c r="ADK35" s="1"/>
      <c r="AIS35" s="1"/>
      <c r="ANP35" s="1"/>
      <c r="ARK35" s="1"/>
    </row>
    <row r="36" spans="747:929 1056:1155" x14ac:dyDescent="0.3">
      <c r="ABS36" s="1"/>
      <c r="ADK36" s="1"/>
      <c r="AIS36" s="1"/>
      <c r="ANP36" s="1"/>
      <c r="ARK36" s="1"/>
    </row>
    <row r="37" spans="747:929 1056:1155" x14ac:dyDescent="0.3">
      <c r="ABS37" s="1"/>
      <c r="ADK37" s="1"/>
      <c r="AIS37" s="1"/>
      <c r="ANP37" s="1"/>
      <c r="ARK37" s="1"/>
    </row>
    <row r="38" spans="747:929 1056:1155" x14ac:dyDescent="0.3">
      <c r="ABS38" s="1"/>
      <c r="ADK38" s="1"/>
      <c r="AIS38" s="1"/>
      <c r="ANP38" s="1"/>
      <c r="ARK38" s="1"/>
    </row>
    <row r="39" spans="747:929 1056:1155" x14ac:dyDescent="0.3">
      <c r="ABS39" s="1"/>
      <c r="ADK39" s="1"/>
      <c r="AIS39" s="1"/>
      <c r="ANP39" s="1"/>
      <c r="ARK39" s="1"/>
    </row>
  </sheetData>
  <autoFilter ref="A1:ASQ3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S223"/>
  <sheetViews>
    <sheetView zoomScale="90" zoomScaleNormal="90" workbookViewId="0">
      <selection activeCell="J29" sqref="J29"/>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COUNTIFS('KEMBE_Cleaned Data'!N:N,"eau",'KEMBE_Cleaned Data'!K:K,"KEMBE")</f>
        <v>8</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COUNTIF('KEMBE_Cleaned Data'!U:U,"pompe_pied")</f>
        <v>4</v>
      </c>
      <c r="C7" s="24">
        <f>COUNTIF('KEMBE_Cleaned Data'!U:U,"pompe_main")</f>
        <v>1</v>
      </c>
      <c r="D7" s="24">
        <f>COUNTIF('KEMBE_Cleaned Data'!U:U,"source_amenagee")</f>
        <v>3</v>
      </c>
      <c r="E7" s="24">
        <f>COUNTIF('KEMBE_Cleaned Data'!U:U,"source_non_amenagee")</f>
        <v>0</v>
      </c>
      <c r="F7" s="24">
        <f>COUNTIF('KEMBE_Cleaned Data'!U:U,"puits_protege")</f>
        <v>0</v>
      </c>
      <c r="G7" s="24">
        <f>COUNTIF('KEMBE_Cleaned Data'!U:U,"puits_non_protege")</f>
        <v>0</v>
      </c>
      <c r="H7" s="24">
        <f>COUNTIF('KEMBE_Cleaned Data'!U:U,"camion")</f>
        <v>0</v>
      </c>
      <c r="I7" s="109">
        <f>SUM(B7:H7)</f>
        <v>8</v>
      </c>
      <c r="J7" s="10"/>
      <c r="K7" s="10"/>
      <c r="L7" s="10"/>
      <c r="M7" s="10"/>
      <c r="N7" s="10"/>
      <c r="O7" s="10"/>
      <c r="P7" s="10"/>
      <c r="Q7" s="10"/>
      <c r="R7" s="10"/>
      <c r="Z7" s="1"/>
    </row>
    <row r="8" spans="1:26" s="106" customFormat="1" ht="26" x14ac:dyDescent="0.3">
      <c r="A8" s="101" t="s">
        <v>3246</v>
      </c>
      <c r="B8" s="104">
        <f>(B7/$B$3)</f>
        <v>0.5</v>
      </c>
      <c r="C8" s="104">
        <f t="shared" ref="C8:H8" si="0">(C7/$B$3)</f>
        <v>0.125</v>
      </c>
      <c r="D8" s="104">
        <f t="shared" si="0"/>
        <v>0.375</v>
      </c>
      <c r="E8" s="104">
        <f t="shared" si="0"/>
        <v>0</v>
      </c>
      <c r="F8" s="104">
        <f t="shared" si="0"/>
        <v>0</v>
      </c>
      <c r="G8" s="104">
        <f t="shared" si="0"/>
        <v>0</v>
      </c>
      <c r="H8" s="104">
        <f t="shared" si="0"/>
        <v>0</v>
      </c>
      <c r="I8" s="102">
        <f>SUM(B8:H8)</f>
        <v>1</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COUNTIF('KEMBE_Cleaned Data'!X:X,"oui")</f>
        <v>3</v>
      </c>
      <c r="C13" s="24">
        <f>COUNTIF('KEMBE_Cleaned Data'!X:X,"non")</f>
        <v>4</v>
      </c>
      <c r="D13" s="24">
        <f>COUNTIF('KEMBE_Cleaned Data'!X:X,"endommage")</f>
        <v>1</v>
      </c>
      <c r="E13" s="52">
        <f>SUM(B13,D13)</f>
        <v>4</v>
      </c>
      <c r="F13" s="10"/>
      <c r="G13" s="10"/>
      <c r="H13" s="10"/>
      <c r="I13" s="10"/>
      <c r="J13" s="10"/>
      <c r="K13" s="10"/>
      <c r="L13" s="10"/>
      <c r="M13" s="10"/>
      <c r="N13" s="10"/>
      <c r="O13" s="10"/>
      <c r="P13" s="10"/>
      <c r="Q13" s="10"/>
      <c r="R13" s="10"/>
    </row>
    <row r="14" spans="1:26" s="106" customFormat="1" ht="26" x14ac:dyDescent="0.3">
      <c r="A14" s="101" t="s">
        <v>3246</v>
      </c>
      <c r="B14" s="104">
        <f>(B13/$B$3)</f>
        <v>0.375</v>
      </c>
      <c r="C14" s="104">
        <f t="shared" ref="C14:D14" si="1">(C13/$B$3)</f>
        <v>0.5</v>
      </c>
      <c r="D14" s="104">
        <f t="shared" si="1"/>
        <v>0.125</v>
      </c>
      <c r="E14" s="102">
        <f>E13/$B$3</f>
        <v>0.5</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COUNTIF('KEMBE_Cleaned Data'!Y:Y,"non_maintenance")</f>
        <v>0</v>
      </c>
      <c r="E18" s="24">
        <f>COUNTIF('KEMBE_Cleaned Data'!Y:Y,"non_rehab")</f>
        <v>1</v>
      </c>
      <c r="F18" s="24">
        <f>COUNTIF('KEMBE_Cleaned Data'!Y:Y,"non_destruction")</f>
        <v>0</v>
      </c>
      <c r="G18" s="111">
        <f>SUM(D18:F18)</f>
        <v>1</v>
      </c>
      <c r="H18" s="10"/>
      <c r="I18" s="10"/>
      <c r="J18" s="10"/>
      <c r="K18" s="10"/>
      <c r="L18" s="10"/>
      <c r="M18" s="10"/>
      <c r="N18" s="10"/>
      <c r="O18" s="10"/>
      <c r="P18" s="10"/>
      <c r="Q18" s="10"/>
      <c r="R18" s="10"/>
    </row>
    <row r="19" spans="1:26" s="106" customFormat="1" ht="37.5" x14ac:dyDescent="0.3">
      <c r="A19" s="105"/>
      <c r="B19" s="105"/>
      <c r="C19" s="101" t="s">
        <v>3247</v>
      </c>
      <c r="D19" s="104">
        <f>D18/$D$13</f>
        <v>0</v>
      </c>
      <c r="E19" s="104">
        <f>E18/$D$13</f>
        <v>1</v>
      </c>
      <c r="F19" s="104">
        <f>F18/$D$13</f>
        <v>0</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COUNTIF('KEMBE_Cleaned Data'!AA:AA,"moins_six_mois")</f>
        <v>0</v>
      </c>
      <c r="E23" s="24">
        <f>COUNTIF('KEMBE_Cleaned Data'!AA:AA,"six_mois_un_an")</f>
        <v>0</v>
      </c>
      <c r="F23" s="24">
        <f>COUNTIF('KEMBE_Cleaned Data'!AA:AA,"un_an_trois_ans")</f>
        <v>0</v>
      </c>
      <c r="G23" s="24">
        <f>COUNTIF('KEMBE_Cleaned Data'!AA:AA,"plus_trois_ans")</f>
        <v>1</v>
      </c>
      <c r="H23" s="24">
        <f>COUNTIF('KEMBE_Cleaned Data'!AA:AA,"nsp")</f>
        <v>0</v>
      </c>
      <c r="I23" s="111">
        <f>SUM(D23:H23)</f>
        <v>1</v>
      </c>
      <c r="J23" s="10"/>
      <c r="K23" s="10"/>
      <c r="L23" s="10"/>
      <c r="M23" s="10"/>
      <c r="N23" s="10"/>
      <c r="O23" s="10"/>
      <c r="P23" s="10"/>
      <c r="Q23" s="10"/>
      <c r="R23" s="10"/>
    </row>
    <row r="24" spans="1:26" s="106" customFormat="1" ht="36.5" customHeight="1" x14ac:dyDescent="0.3">
      <c r="A24" s="105"/>
      <c r="B24" s="105"/>
      <c r="C24" s="101" t="s">
        <v>3247</v>
      </c>
      <c r="D24" s="104">
        <f>D23/$D$13</f>
        <v>0</v>
      </c>
      <c r="E24" s="104">
        <f>E23/$D$13</f>
        <v>0</v>
      </c>
      <c r="F24" s="104">
        <f>F23/$D$13</f>
        <v>0</v>
      </c>
      <c r="G24" s="104">
        <f t="shared" ref="G24:H24" si="2">G23/$D$13</f>
        <v>1</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COUNTIF('KEMBE_Cleaned Data'!AC:AC,"1")</f>
        <v>1</v>
      </c>
      <c r="E28" s="24">
        <f>COUNTIF('KEMBE_Cleaned Data'!AD:AD,"1")</f>
        <v>1</v>
      </c>
      <c r="F28" s="24">
        <f>COUNTIF('KEMBE_Cleaned Data'!AF:AF,"1")</f>
        <v>3</v>
      </c>
      <c r="G28" s="24">
        <f>COUNTIF('KEMBE_Cleaned Data'!AH:AH,"1")</f>
        <v>2</v>
      </c>
      <c r="H28" s="24">
        <f>COUNTIF('KEMBE_Cleaned Data'!AI:AI,"1")</f>
        <v>0</v>
      </c>
      <c r="I28" s="24">
        <f>COUNTIF('KEMBE_Cleaned Data'!AK:AK,"1")</f>
        <v>0</v>
      </c>
      <c r="J28" s="74"/>
      <c r="K28" s="10"/>
      <c r="L28" s="10"/>
      <c r="M28" s="10"/>
      <c r="N28" s="10"/>
      <c r="O28" s="10"/>
      <c r="P28" s="10"/>
      <c r="Q28" s="10"/>
      <c r="R28" s="10"/>
      <c r="X28" s="1"/>
      <c r="Y28" s="1"/>
      <c r="Z28" s="1"/>
    </row>
    <row r="29" spans="1:26" s="105" customFormat="1" ht="37.5" x14ac:dyDescent="0.3">
      <c r="A29" s="107"/>
      <c r="B29" s="108"/>
      <c r="C29" s="101" t="s">
        <v>3248</v>
      </c>
      <c r="D29" s="104">
        <f>D28/$C$13</f>
        <v>0.25</v>
      </c>
      <c r="E29" s="104">
        <f t="shared" ref="E29:I29" si="3">E28/$C$13</f>
        <v>0.25</v>
      </c>
      <c r="F29" s="104">
        <f t="shared" si="3"/>
        <v>0.75</v>
      </c>
      <c r="G29" s="104">
        <f t="shared" si="3"/>
        <v>0.5</v>
      </c>
      <c r="H29" s="104">
        <f t="shared" si="3"/>
        <v>0</v>
      </c>
      <c r="I29" s="104">
        <f t="shared" si="3"/>
        <v>0</v>
      </c>
      <c r="J29" s="10"/>
    </row>
    <row r="30" spans="1:26" s="10" customFormat="1" x14ac:dyDescent="0.3">
      <c r="A30" s="14"/>
      <c r="B30" s="15"/>
      <c r="C30" s="97"/>
      <c r="D30" s="15"/>
      <c r="E30" s="15"/>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COUNTIF('KEMBE_Cleaned Data'!AM:AM,"moins_six_mois")</f>
        <v>0</v>
      </c>
      <c r="E33" s="24">
        <f>COUNTIF('KEMBE_Cleaned Data'!AM:AM,"six_mois_un_an")</f>
        <v>0</v>
      </c>
      <c r="F33" s="24">
        <f>COUNTIF('KEMBE_Cleaned Data'!AM:AM,"un_an_trois_ans")</f>
        <v>0</v>
      </c>
      <c r="G33" s="24">
        <f>COUNTIF('KEMBE_Cleaned Data'!AM:AM,"plus_trois_ans")</f>
        <v>4</v>
      </c>
      <c r="H33" s="24">
        <f>COUNTIF('KEMBE_Cleaned Data'!AM:AM,"nsp")</f>
        <v>0</v>
      </c>
      <c r="I33" s="111">
        <f>SUM(D33:H33)</f>
        <v>4</v>
      </c>
      <c r="J33" s="10"/>
      <c r="K33" s="10"/>
      <c r="L33" s="10"/>
      <c r="M33" s="10"/>
      <c r="N33" s="10"/>
      <c r="O33" s="10"/>
      <c r="P33" s="10"/>
      <c r="Q33" s="10"/>
      <c r="R33" s="10"/>
    </row>
    <row r="34" spans="1:26" s="106" customFormat="1" ht="41.5" customHeight="1" x14ac:dyDescent="0.3">
      <c r="A34" s="105"/>
      <c r="B34" s="105"/>
      <c r="C34" s="101" t="s">
        <v>3248</v>
      </c>
      <c r="D34" s="104">
        <f>D33/$C$13</f>
        <v>0</v>
      </c>
      <c r="E34" s="104">
        <f t="shared" ref="E34:H34" si="4">E33/$C$13</f>
        <v>0</v>
      </c>
      <c r="F34" s="104">
        <f t="shared" si="4"/>
        <v>0</v>
      </c>
      <c r="G34" s="104">
        <f t="shared" si="4"/>
        <v>1</v>
      </c>
      <c r="H34" s="104">
        <f t="shared" si="4"/>
        <v>0</v>
      </c>
      <c r="I34" s="100">
        <f>SUM(D34:H34)</f>
        <v>1</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COUNTIF('KEMBE_Cleaned Data'!BP:BP,"1")</f>
        <v>3</v>
      </c>
      <c r="C38" s="24">
        <f>COUNTIF('KEMBE_Cleaned Data'!BQ:BQ,"1")</f>
        <v>0</v>
      </c>
      <c r="D38" s="24">
        <f>COUNTIF('KEMBE_Cleaned Data'!BR:BR,"1")</f>
        <v>0</v>
      </c>
      <c r="E38" s="24">
        <f>COUNTIF('KEMBE_Cleaned Data'!BY:BY,"1")</f>
        <v>0</v>
      </c>
      <c r="F38" s="24">
        <f>COUNTIF('KEMBE_Cleaned Data'!BZ:BZ,"1")</f>
        <v>1</v>
      </c>
      <c r="G38" s="24">
        <f>COUNTIF('KEMBE_Cleaned Data'!BS:BS,"1")</f>
        <v>0</v>
      </c>
      <c r="H38" s="24">
        <f>COUNTIF('KEMBE_Cleaned Data'!BT:BT,"1")</f>
        <v>0</v>
      </c>
      <c r="I38" s="24">
        <f>COUNTIF('KEMBE_Cleaned Data'!BU:BU,"1")</f>
        <v>4</v>
      </c>
      <c r="J38" s="24">
        <f>COUNTIF('KEMBE_Cleaned Data'!CA:CA,"1")</f>
        <v>0</v>
      </c>
      <c r="K38" s="24">
        <f>COUNTIF('KEMBE_Cleaned Data'!BW:BW,"1")</f>
        <v>0</v>
      </c>
      <c r="L38" s="24">
        <f>COUNTIF('KEMBE_Cleaned Data'!BX:BX,"1")</f>
        <v>0</v>
      </c>
      <c r="M38" s="10"/>
      <c r="N38" s="10"/>
      <c r="O38" s="10"/>
      <c r="P38" s="10"/>
      <c r="Q38" s="10"/>
      <c r="R38" s="10"/>
    </row>
    <row r="39" spans="1:26" s="106" customFormat="1" ht="26" x14ac:dyDescent="0.3">
      <c r="A39" s="101" t="s">
        <v>3246</v>
      </c>
      <c r="B39" s="104">
        <f>B38/$B$3</f>
        <v>0.375</v>
      </c>
      <c r="C39" s="104">
        <f t="shared" ref="C39:L39" si="5">C38/$B$3</f>
        <v>0</v>
      </c>
      <c r="D39" s="104">
        <f t="shared" si="5"/>
        <v>0</v>
      </c>
      <c r="E39" s="104">
        <f t="shared" si="5"/>
        <v>0</v>
      </c>
      <c r="F39" s="104">
        <f t="shared" si="5"/>
        <v>0.125</v>
      </c>
      <c r="G39" s="104">
        <f t="shared" si="5"/>
        <v>0</v>
      </c>
      <c r="H39" s="104">
        <f t="shared" si="5"/>
        <v>0</v>
      </c>
      <c r="I39" s="104">
        <f t="shared" si="5"/>
        <v>0.5</v>
      </c>
      <c r="J39" s="104">
        <f t="shared" si="5"/>
        <v>0</v>
      </c>
      <c r="K39" s="104">
        <f t="shared" si="5"/>
        <v>0</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COUNTIF('KEMBE_Cleaned Data'!AN:AN, "oui_potable")</f>
        <v>1</v>
      </c>
      <c r="C45" s="3">
        <f>COUNTIF('KEMBE_Cleaned Data'!AN:AN, "oui_pas_potable")</f>
        <v>2</v>
      </c>
      <c r="D45" s="3">
        <f>COUNTIF('KEMBE_Cleaned Data'!AN:AN, "oui_traitee")</f>
        <v>1</v>
      </c>
      <c r="E45" s="3">
        <f>COUNTIF('KEMBE_Cleaned Data'!AN:AN, "non")</f>
        <v>0</v>
      </c>
      <c r="F45" s="111">
        <f>SUM(B45:E45)</f>
        <v>4</v>
      </c>
      <c r="G45" s="10"/>
      <c r="H45" s="10"/>
      <c r="I45" s="10"/>
      <c r="J45" s="10"/>
      <c r="K45" s="10"/>
      <c r="L45" s="10"/>
      <c r="M45" s="10"/>
      <c r="N45" s="10"/>
      <c r="O45" s="10"/>
      <c r="P45" s="10"/>
      <c r="Q45" s="10"/>
      <c r="R45" s="10"/>
    </row>
    <row r="46" spans="1:26" s="106" customFormat="1" ht="37.5" x14ac:dyDescent="0.3">
      <c r="A46" s="101" t="s">
        <v>1883</v>
      </c>
      <c r="B46" s="104">
        <f>(B45/$E$13)</f>
        <v>0.25</v>
      </c>
      <c r="C46" s="104">
        <f t="shared" ref="C46:E46" si="6">(C45/$E$13)</f>
        <v>0.5</v>
      </c>
      <c r="D46" s="104">
        <f t="shared" si="6"/>
        <v>0.25</v>
      </c>
      <c r="E46" s="104">
        <f t="shared" si="6"/>
        <v>0</v>
      </c>
      <c r="F46" s="100">
        <f>SUM(B46:E46)</f>
        <v>1</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t="e">
        <f>AVERAGE('KEMBE_Cleaned Data'!AO:AO)</f>
        <v>#DIV/0!</v>
      </c>
      <c r="B49" s="10"/>
      <c r="C49" s="74" t="s">
        <v>2089</v>
      </c>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COUNTIF('KEMBE_Cleaned Data'!AP:AP,"maisons_alentours")</f>
        <v>0</v>
      </c>
      <c r="C53" s="3">
        <f>COUNTIF('KEMBE_Cleaned Data'!AP:AP,"quartier")</f>
        <v>2</v>
      </c>
      <c r="D53" s="3">
        <f>COUNTIF('KEMBE_Cleaned Data'!AP:AP,"plusieurs_quartiers")</f>
        <v>0</v>
      </c>
      <c r="E53" s="3">
        <f>COUNTIF('KEMBE_Cleaned Data'!AP:AP,"localite")</f>
        <v>1</v>
      </c>
      <c r="F53" s="3">
        <f>COUNTIF('KEMBE_Cleaned Data'!AP:AP,"localite_environs")</f>
        <v>0</v>
      </c>
      <c r="G53" s="3">
        <f>COUNTIF('KEMBE_Cleaned Data'!AP:AP,"nsp")</f>
        <v>1</v>
      </c>
      <c r="H53" s="3">
        <f>COUNTIF('KEMBE_Cleaned Data'!AP:AP,"autre")</f>
        <v>0</v>
      </c>
      <c r="I53" s="111">
        <f>SUM(B53:H53)</f>
        <v>4</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0</v>
      </c>
      <c r="C54" s="104">
        <f t="shared" ref="C54:H54" si="7">(C53/$E$13)</f>
        <v>0.5</v>
      </c>
      <c r="D54" s="104">
        <f t="shared" si="7"/>
        <v>0</v>
      </c>
      <c r="E54" s="104">
        <f t="shared" si="7"/>
        <v>0.25</v>
      </c>
      <c r="F54" s="104">
        <f t="shared" si="7"/>
        <v>0</v>
      </c>
      <c r="G54" s="104">
        <f t="shared" si="7"/>
        <v>0.25</v>
      </c>
      <c r="H54" s="104">
        <f t="shared" si="7"/>
        <v>0</v>
      </c>
      <c r="I54" s="100">
        <f>SUM(B54:H54)</f>
        <v>1</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COUNTIF('KEMBE_Cleaned Data'!AR:AR,"moins_trente_min")</f>
        <v>3</v>
      </c>
      <c r="C58" s="3">
        <f>COUNTIF('KEMBE_Cleaned Data'!AR:AR,"une_heure")</f>
        <v>1</v>
      </c>
      <c r="D58" s="3">
        <f>COUNTIF('KEMBE_Cleaned Data'!AR:AR,"une_deux_heures")</f>
        <v>0</v>
      </c>
      <c r="E58" s="3">
        <f>COUNTIF('KEMBE_Cleaned Data'!AR:AR,"deux_trois_heures")</f>
        <v>0</v>
      </c>
      <c r="F58" s="3">
        <f>COUNTIF('KEMBE_Cleaned Data'!AR:AR,"plus_trois_heures")</f>
        <v>0</v>
      </c>
      <c r="G58" s="111">
        <f>SUM(B58:F58)</f>
        <v>4</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0.75</v>
      </c>
      <c r="C59" s="94">
        <f t="shared" ref="C59:F59" si="8">(C58/$E$13)</f>
        <v>0.25</v>
      </c>
      <c r="D59" s="94">
        <f t="shared" si="8"/>
        <v>0</v>
      </c>
      <c r="E59" s="94">
        <f t="shared" si="8"/>
        <v>0</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COUNTIF('KEMBE_Cleaned Data'!AS:AS,"aucun")</f>
        <v>1</v>
      </c>
      <c r="C63" s="3">
        <f>COUNTIF('KEMBE_Cleaned Data'!AS:AS,"moins_trente_minutes")</f>
        <v>1</v>
      </c>
      <c r="D63" s="3">
        <f>COUNTIF('KEMBE_Cleaned Data'!AS:AS,"moins_une_heure")</f>
        <v>1</v>
      </c>
      <c r="E63" s="3">
        <f>COUNTIF('KEMBE_Cleaned Data'!AS:AS,"plus_une_heure")</f>
        <v>0</v>
      </c>
      <c r="F63" s="3">
        <f>COUNTIF('KEMBE_Cleaned Data'!AS:AS,"plus_deux_heures")</f>
        <v>0</v>
      </c>
      <c r="G63" s="3">
        <f>COUNTIF('KEMBE_Cleaned Data'!AS:AS,"plus_trois_heure")</f>
        <v>0</v>
      </c>
      <c r="H63" s="3">
        <f>COUNTIF('KEMBE_Cleaned Data'!AS:AS,"nsp")</f>
        <v>1</v>
      </c>
      <c r="I63" s="111">
        <f>SUM(B63:H63)</f>
        <v>4</v>
      </c>
    </row>
    <row r="64" spans="1:45" s="56" customFormat="1" ht="37" x14ac:dyDescent="0.3">
      <c r="A64" s="54" t="s">
        <v>1883</v>
      </c>
      <c r="B64" s="94">
        <f>(B63/$E$13)</f>
        <v>0.25</v>
      </c>
      <c r="C64" s="94">
        <f t="shared" ref="C64:H64" si="9">(C63/$E$13)</f>
        <v>0.25</v>
      </c>
      <c r="D64" s="94">
        <f t="shared" si="9"/>
        <v>0.25</v>
      </c>
      <c r="E64" s="94">
        <f t="shared" si="9"/>
        <v>0</v>
      </c>
      <c r="F64" s="94">
        <f t="shared" si="9"/>
        <v>0</v>
      </c>
      <c r="G64" s="94">
        <f t="shared" si="9"/>
        <v>0</v>
      </c>
      <c r="H64" s="94">
        <f t="shared" si="9"/>
        <v>0.25</v>
      </c>
      <c r="I64" s="100">
        <f>SUM(B64:H64)</f>
        <v>1</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COUNTIF('KEMBE_Cleaned Data'!AT:AT,"OUI")</f>
        <v>2</v>
      </c>
      <c r="C68" s="3">
        <f>COUNTIF('KEMBE_Cleaned Data'!AT:AT,"non")</f>
        <v>2</v>
      </c>
      <c r="D68" s="111">
        <f>SUM(B68:C68)</f>
        <v>4</v>
      </c>
      <c r="E68" s="10"/>
      <c r="F68" s="10"/>
      <c r="G68" s="10"/>
      <c r="H68" s="10"/>
      <c r="I68" s="10"/>
      <c r="J68" s="10"/>
      <c r="K68" s="10"/>
      <c r="L68" s="10"/>
      <c r="M68" s="10"/>
      <c r="N68" s="10"/>
      <c r="O68" s="10"/>
      <c r="P68" s="10"/>
      <c r="Q68" s="10"/>
      <c r="R68" s="10"/>
    </row>
    <row r="69" spans="1:26" s="56" customFormat="1" ht="37" x14ac:dyDescent="0.3">
      <c r="A69" s="54" t="s">
        <v>1883</v>
      </c>
      <c r="B69" s="94">
        <f>(B68/$E$13)</f>
        <v>0.5</v>
      </c>
      <c r="C69" s="94">
        <f>(C68/$E$13)</f>
        <v>0.5</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COUNTIF('KEMBE_Cleaned Data'!AU:AU,"bcp_diminue")</f>
        <v>0</v>
      </c>
      <c r="D73" s="3">
        <f>COUNTIF('KEMBE_Cleaned Data'!AU:AU,"peu_diminue")</f>
        <v>1</v>
      </c>
      <c r="E73" s="3">
        <f>COUNTIF('KEMBE_Cleaned Data'!AU:AU,"bcp_augmente")</f>
        <v>1</v>
      </c>
      <c r="F73" s="3">
        <f>COUNTIF('KEMBE_Cleaned Data'!AU:AU,"PEU_augmente")</f>
        <v>0</v>
      </c>
      <c r="G73" s="111">
        <f>SUM(C73:F73)</f>
        <v>2</v>
      </c>
      <c r="H73" s="10"/>
      <c r="I73" s="10"/>
      <c r="J73" s="10"/>
      <c r="K73" s="10"/>
      <c r="L73" s="10"/>
      <c r="M73" s="10"/>
      <c r="N73" s="10"/>
      <c r="O73" s="10"/>
      <c r="P73" s="10"/>
      <c r="Q73" s="10"/>
      <c r="R73" s="10"/>
    </row>
    <row r="74" spans="1:26" ht="60.5" x14ac:dyDescent="0.3">
      <c r="A74" s="10"/>
      <c r="B74" s="53" t="s">
        <v>3250</v>
      </c>
      <c r="C74" s="7">
        <f>(C73/$B$68)</f>
        <v>0</v>
      </c>
      <c r="D74" s="7">
        <f>(D73/$B$68)</f>
        <v>0.5</v>
      </c>
      <c r="E74" s="7">
        <f>(E73/$B$68)</f>
        <v>0.5</v>
      </c>
      <c r="F74" s="7">
        <f>(F73/$B$68)</f>
        <v>0</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1905</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COUNTIF('KEMBE_Cleaned Data'!AV:AV,"1")</f>
        <v>0</v>
      </c>
      <c r="D78" s="3">
        <f>COUNTIF('KEMBE_Cleaned Data'!AW:AW,"1")</f>
        <v>1</v>
      </c>
      <c r="E78" s="3">
        <f>COUNTIF('KEMBE_Cleaned Data'!AX:AX,"1")</f>
        <v>0</v>
      </c>
      <c r="F78" s="3">
        <f>COUNTIF('KEMBE_Cleaned Data'!AY:AY,"1")</f>
        <v>0</v>
      </c>
      <c r="G78" s="3">
        <f>COUNTIF('KEMBE_Cleaned Data'!AZ:AZ,"1")</f>
        <v>0</v>
      </c>
      <c r="H78" s="3">
        <f>COUNTIF('KEMBE_Cleaned Data'!BA:BA,"1")</f>
        <v>0</v>
      </c>
      <c r="I78" s="3">
        <f>COUNTIF('KEMBE_Cleaned Data'!BB:BB,"1")</f>
        <v>0</v>
      </c>
      <c r="J78" s="3">
        <f>COUNTIF('KEMBE_Cleaned Data'!BC:BC,"1")</f>
        <v>0</v>
      </c>
      <c r="K78" s="20"/>
      <c r="L78" s="10"/>
      <c r="M78" s="10"/>
      <c r="N78" s="10"/>
      <c r="O78" s="10"/>
      <c r="P78" s="10"/>
      <c r="Q78" s="10"/>
      <c r="R78" s="10"/>
    </row>
    <row r="79" spans="1:26" ht="60.5" x14ac:dyDescent="0.3">
      <c r="A79" s="10"/>
      <c r="B79" s="53" t="s">
        <v>3251</v>
      </c>
      <c r="C79" s="7">
        <f t="shared" ref="C79:J79" si="10">C78/$E$73</f>
        <v>0</v>
      </c>
      <c r="D79" s="7">
        <f t="shared" si="10"/>
        <v>1</v>
      </c>
      <c r="E79" s="7">
        <f t="shared" si="10"/>
        <v>0</v>
      </c>
      <c r="F79" s="7">
        <f t="shared" si="10"/>
        <v>0</v>
      </c>
      <c r="G79" s="7">
        <f t="shared" si="10"/>
        <v>0</v>
      </c>
      <c r="H79" s="7">
        <f t="shared" si="10"/>
        <v>0</v>
      </c>
      <c r="I79" s="7">
        <f t="shared" si="10"/>
        <v>0</v>
      </c>
      <c r="J79" s="7">
        <f t="shared" si="10"/>
        <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COUNTIF('KEMBE_Cleaned Data'!BF:BF,"1")</f>
        <v>0</v>
      </c>
      <c r="D83" s="3">
        <f>COUNTIF('KEMBE_Cleaned Data'!BG:BG,"1")</f>
        <v>1</v>
      </c>
      <c r="E83" s="3">
        <f>COUNTIF('KEMBE_Cleaned Data'!BH:BH,"1")</f>
        <v>0</v>
      </c>
      <c r="F83" s="3">
        <f>COUNTIF('KEMBE_Cleaned Data'!BI:BI,"1")</f>
        <v>0</v>
      </c>
      <c r="G83" s="3">
        <f>COUNTIF('KEMBE_Cleaned Data'!BJ:BJ,"1")</f>
        <v>0</v>
      </c>
      <c r="H83" s="3">
        <f>COUNTIF('KEMBE_Cleaned Data'!BK:BK,"1")</f>
        <v>0</v>
      </c>
      <c r="I83" s="3">
        <f>COUNTIF('KEMBE_Cleaned Data'!BL:BL,"1")</f>
        <v>0</v>
      </c>
      <c r="J83" s="10"/>
      <c r="K83" s="10"/>
      <c r="L83" s="10"/>
      <c r="M83" s="10"/>
      <c r="N83" s="10"/>
      <c r="O83" s="10"/>
      <c r="P83" s="10"/>
      <c r="Q83" s="10"/>
      <c r="R83" s="10"/>
    </row>
    <row r="84" spans="1:26" ht="60.5" x14ac:dyDescent="0.3">
      <c r="A84" s="10"/>
      <c r="B84" s="53" t="s">
        <v>3252</v>
      </c>
      <c r="C84" s="7">
        <f t="shared" ref="C84:I84" si="11">C83/$D$73</f>
        <v>0</v>
      </c>
      <c r="D84" s="7">
        <f t="shared" si="11"/>
        <v>1</v>
      </c>
      <c r="E84" s="7">
        <f t="shared" si="11"/>
        <v>0</v>
      </c>
      <c r="F84" s="7">
        <f t="shared" si="11"/>
        <v>0</v>
      </c>
      <c r="G84" s="7">
        <f t="shared" si="11"/>
        <v>0</v>
      </c>
      <c r="H84" s="7">
        <f t="shared" si="11"/>
        <v>0</v>
      </c>
      <c r="I84" s="7">
        <f t="shared" si="11"/>
        <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COUNTIF('KEMBE_Cleaned Data'!W:W,"OUI")</f>
        <v>2</v>
      </c>
      <c r="C90" s="3">
        <f>COUNTIF('KEMBE_Cleaned Data'!W:W,"non")</f>
        <v>5</v>
      </c>
      <c r="D90" s="3">
        <f>COUNTIF('KEMBE_Cleaned Data'!W:W,"nsp")</f>
        <v>1</v>
      </c>
      <c r="E90" s="111">
        <f>SUM(B90:D90)</f>
        <v>8</v>
      </c>
      <c r="F90" s="10"/>
      <c r="G90" s="10"/>
      <c r="H90" s="10"/>
      <c r="I90" s="10"/>
      <c r="J90" s="10"/>
      <c r="K90" s="10"/>
      <c r="L90" s="10"/>
      <c r="M90" s="10"/>
      <c r="N90" s="10"/>
      <c r="O90" s="10"/>
      <c r="P90" s="10"/>
      <c r="Q90" s="10"/>
      <c r="R90" s="10"/>
    </row>
    <row r="91" spans="1:26" ht="26" x14ac:dyDescent="0.3">
      <c r="A91" s="53" t="s">
        <v>3246</v>
      </c>
      <c r="B91" s="7">
        <f>(B90/$B$3)</f>
        <v>0.25</v>
      </c>
      <c r="C91" s="7">
        <f>(C90/$B$3)</f>
        <v>0.625</v>
      </c>
      <c r="D91" s="7">
        <f>(D90/$B$3)</f>
        <v>0.125</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COUNTIF('KEMBE_Cleaned Data'!CC:CC,"oui")</f>
        <v>2</v>
      </c>
      <c r="C95" s="3">
        <f>COUNTIF('KEMBE_Cleaned Data'!CC:CC,"non")</f>
        <v>2</v>
      </c>
      <c r="D95" s="111">
        <f>SUM(A95:C95)</f>
        <v>4</v>
      </c>
      <c r="E95" s="10"/>
      <c r="F95" s="10"/>
      <c r="G95" s="10"/>
      <c r="H95" s="10"/>
      <c r="I95" s="10"/>
      <c r="J95" s="10"/>
      <c r="K95" s="10"/>
      <c r="L95" s="10"/>
      <c r="M95" s="10"/>
      <c r="N95" s="10"/>
      <c r="O95" s="10"/>
      <c r="P95" s="10"/>
      <c r="Q95" s="10"/>
      <c r="R95" s="10"/>
    </row>
    <row r="96" spans="1:26" ht="37" x14ac:dyDescent="0.3">
      <c r="A96" s="54" t="s">
        <v>1883</v>
      </c>
      <c r="B96" s="7">
        <f>(B95/$E$13)</f>
        <v>0.5</v>
      </c>
      <c r="C96" s="7">
        <f>(C95/$E$13)</f>
        <v>0.5</v>
      </c>
      <c r="D96" s="100">
        <f>SUM(A96:C96)</f>
        <v>1</v>
      </c>
      <c r="E96" s="10"/>
      <c r="F96" s="10"/>
      <c r="G96" s="10"/>
      <c r="H96" s="10"/>
      <c r="I96" s="10"/>
      <c r="J96" s="10"/>
      <c r="K96" s="10"/>
      <c r="L96" s="10"/>
      <c r="M96" s="10"/>
      <c r="N96" s="10"/>
      <c r="O96" s="10"/>
      <c r="P96" s="10"/>
      <c r="Q96" s="10"/>
      <c r="R96" s="10"/>
    </row>
    <row r="97" spans="2:11" s="10" customFormat="1" x14ac:dyDescent="0.3"/>
    <row r="98" spans="2:11" s="10" customFormat="1" x14ac:dyDescent="0.3">
      <c r="B98" s="18" t="s">
        <v>1242</v>
      </c>
    </row>
    <row r="99" spans="2:11" s="10" customFormat="1" x14ac:dyDescent="0.3">
      <c r="B99" s="21">
        <f>AVERAGE('KEMBE_Cleaned Data'!CF:CF)</f>
        <v>15</v>
      </c>
      <c r="C99" s="22" t="s">
        <v>1243</v>
      </c>
      <c r="D99" s="21" t="s">
        <v>1897</v>
      </c>
      <c r="F99" s="74"/>
    </row>
    <row r="100" spans="2:11" s="10" customFormat="1" x14ac:dyDescent="0.3"/>
    <row r="101" spans="2:11" s="10" customFormat="1" x14ac:dyDescent="0.3">
      <c r="B101" s="18" t="s">
        <v>1244</v>
      </c>
    </row>
    <row r="102" spans="2:11" s="10" customFormat="1" x14ac:dyDescent="0.3">
      <c r="B102" s="3"/>
      <c r="C102" s="11" t="s">
        <v>1210</v>
      </c>
      <c r="D102" s="11" t="s">
        <v>1209</v>
      </c>
      <c r="E102" s="11" t="s">
        <v>3259</v>
      </c>
      <c r="F102" s="110" t="s">
        <v>1206</v>
      </c>
    </row>
    <row r="103" spans="2:11" s="10" customFormat="1" x14ac:dyDescent="0.3">
      <c r="B103" s="3" t="s">
        <v>1207</v>
      </c>
      <c r="C103" s="3">
        <f>COUNTIF('KEMBE_Cleaned Data'!CG:CG,"OUI")</f>
        <v>1</v>
      </c>
      <c r="D103" s="3">
        <f>COUNTIF('KEMBE_Cleaned Data'!CG:CG,"non")</f>
        <v>0</v>
      </c>
      <c r="E103" s="3">
        <f>COUNTIF('KEMBE_Cleaned Data'!CG:CG,"nsp")</f>
        <v>1</v>
      </c>
      <c r="F103" s="111">
        <f>SUM(C103:D103)</f>
        <v>1</v>
      </c>
    </row>
    <row r="104" spans="2:11" s="10" customFormat="1" ht="37.5" x14ac:dyDescent="0.3">
      <c r="B104" s="53" t="s">
        <v>3253</v>
      </c>
      <c r="C104" s="7">
        <f>(C103/$B$95)</f>
        <v>0.5</v>
      </c>
      <c r="D104" s="7">
        <f>(D103/$B$95)</f>
        <v>0</v>
      </c>
      <c r="E104" s="7">
        <f>(E103/$B$95)</f>
        <v>0.5</v>
      </c>
      <c r="F104" s="100">
        <f>SUM(C104:E104)</f>
        <v>1</v>
      </c>
      <c r="K104" s="1"/>
    </row>
    <row r="105" spans="2:11" s="10" customFormat="1" x14ac:dyDescent="0.3">
      <c r="B105" s="14"/>
      <c r="C105" s="15"/>
      <c r="D105" s="15"/>
      <c r="K105" s="1"/>
    </row>
    <row r="106" spans="2:11" s="10" customFormat="1" x14ac:dyDescent="0.3">
      <c r="B106" s="18" t="s">
        <v>1224</v>
      </c>
    </row>
    <row r="107" spans="2:11" s="10" customFormat="1" ht="28" x14ac:dyDescent="0.3">
      <c r="B107" s="3"/>
      <c r="C107" s="12" t="s">
        <v>1226</v>
      </c>
      <c r="D107" s="12" t="s">
        <v>1405</v>
      </c>
      <c r="E107" s="12" t="s">
        <v>1225</v>
      </c>
      <c r="F107" s="12" t="s">
        <v>1404</v>
      </c>
      <c r="G107" s="110" t="s">
        <v>1206</v>
      </c>
    </row>
    <row r="108" spans="2:11" s="10" customFormat="1" x14ac:dyDescent="0.3">
      <c r="B108" s="3" t="s">
        <v>1207</v>
      </c>
      <c r="C108" s="3">
        <f>COUNTIF('KEMBE_Cleaned Data'!CH:CH,"bcp_diminue")</f>
        <v>0</v>
      </c>
      <c r="D108" s="3">
        <f>COUNTIF('KEMBE_Cleaned Data'!CH:CH,"peu_diminue")</f>
        <v>0</v>
      </c>
      <c r="E108" s="3">
        <f>COUNTIF('KEMBE_Cleaned Data'!CH:CH,"bcp_augmente")</f>
        <v>0</v>
      </c>
      <c r="F108" s="3">
        <f>COUNTIF('KEMBE_Cleaned Data'!CH:CH,"PEU_augmente")</f>
        <v>1</v>
      </c>
      <c r="G108" s="111">
        <f>SUM(C108:F108)</f>
        <v>1</v>
      </c>
    </row>
    <row r="109" spans="2:11" s="10" customFormat="1" ht="60.5" x14ac:dyDescent="0.3">
      <c r="B109" s="53" t="s">
        <v>3254</v>
      </c>
      <c r="C109" s="7">
        <f>(C108/$C$103)</f>
        <v>0</v>
      </c>
      <c r="D109" s="7">
        <f>(D108/$C$103)</f>
        <v>0</v>
      </c>
      <c r="E109" s="7">
        <f>(E108/$C$103)</f>
        <v>0</v>
      </c>
      <c r="F109" s="7">
        <f>(F108/$C$103)</f>
        <v>1</v>
      </c>
      <c r="G109" s="100">
        <f>SUM(C109:F109)</f>
        <v>1</v>
      </c>
    </row>
    <row r="110" spans="2:11" s="10" customFormat="1" x14ac:dyDescent="0.3"/>
    <row r="111" spans="2:11" s="10" customFormat="1" x14ac:dyDescent="0.3">
      <c r="B111" s="1" t="s">
        <v>1245</v>
      </c>
      <c r="C111" s="1"/>
    </row>
    <row r="112" spans="2:11" s="10" customFormat="1" ht="42" x14ac:dyDescent="0.3">
      <c r="B112" s="11" t="s">
        <v>1246</v>
      </c>
      <c r="C112" s="11" t="s">
        <v>1247</v>
      </c>
      <c r="D112" s="11" t="s">
        <v>1248</v>
      </c>
      <c r="E112" s="11" t="s">
        <v>1249</v>
      </c>
      <c r="F112" s="11" t="s">
        <v>3259</v>
      </c>
      <c r="G112" s="11" t="s">
        <v>1205</v>
      </c>
      <c r="H112" s="110" t="s">
        <v>1206</v>
      </c>
    </row>
    <row r="113" spans="1:26" x14ac:dyDescent="0.3">
      <c r="A113" s="10"/>
      <c r="B113" s="3">
        <f>COUNTIF('KEMBE_Cleaned Data'!CJ:CJ,"1")</f>
        <v>0</v>
      </c>
      <c r="C113" s="3">
        <f>COUNTIF('KEMBE_Cleaned Data'!CK:CK,"1")</f>
        <v>0</v>
      </c>
      <c r="D113" s="3">
        <f>COUNTIF('KEMBE_Cleaned Data'!CL:CL,"1")</f>
        <v>1</v>
      </c>
      <c r="E113" s="3">
        <f>COUNTIF('KEMBE_Cleaned Data'!CM:CM,"1")</f>
        <v>0</v>
      </c>
      <c r="F113" s="3">
        <f>COUNTIF('KEMBE_Cleaned Data'!CN:CN,"1")</f>
        <v>0</v>
      </c>
      <c r="G113" s="3">
        <f>COUNTIF('KEMBE_Cleaned Data'!CO:CO,"1")</f>
        <v>0</v>
      </c>
      <c r="H113" s="111">
        <f>SUM(B113:G113)</f>
        <v>1</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COUNTIF('KEMBE_Cleaned Data'!CZ:CZ,"1")</f>
        <v>0</v>
      </c>
      <c r="C117" s="3">
        <f>COUNTIF('KEMBE_Cleaned Data'!DA:DA,"1")</f>
        <v>1</v>
      </c>
      <c r="D117" s="3">
        <f>COUNTIF('KEMBE_Cleaned Data'!DB:DB,"1")</f>
        <v>0</v>
      </c>
      <c r="E117" s="3">
        <f>COUNTIF('KEMBE_Cleaned Data'!DC:DC,"1")</f>
        <v>0</v>
      </c>
      <c r="F117" s="3">
        <f>COUNTIF('KEMBE_Cleaned Data'!DD:DD,"1")</f>
        <v>1</v>
      </c>
      <c r="G117" s="3">
        <f>COUNTIF('KEMBE_Cleaned Data'!DE:DE,"1")</f>
        <v>0</v>
      </c>
      <c r="H117" s="3">
        <f>COUNTIF('KEMBE_Cleaned Data'!DF:DF,"1")</f>
        <v>0</v>
      </c>
      <c r="I117" s="3">
        <f>COUNTIF('KEMBE_Cleaned Data'!DG:DG,"1")</f>
        <v>0</v>
      </c>
      <c r="J117" s="111">
        <f>SUM(B117:I117)</f>
        <v>2</v>
      </c>
      <c r="K117" s="10"/>
      <c r="L117" s="10"/>
      <c r="M117" s="10"/>
      <c r="N117" s="10"/>
      <c r="O117" s="10"/>
      <c r="P117" s="10"/>
      <c r="Q117" s="10"/>
      <c r="R117" s="10"/>
    </row>
    <row r="118" spans="1:26" ht="37.5" x14ac:dyDescent="0.3">
      <c r="A118" s="53" t="s">
        <v>1921</v>
      </c>
      <c r="B118" s="7">
        <f>B117/$B$95</f>
        <v>0</v>
      </c>
      <c r="C118" s="7">
        <f t="shared" ref="C118:I118" si="12">C117/$B$95</f>
        <v>0.5</v>
      </c>
      <c r="D118" s="7">
        <f t="shared" si="12"/>
        <v>0</v>
      </c>
      <c r="E118" s="7">
        <f t="shared" si="12"/>
        <v>0</v>
      </c>
      <c r="F118" s="7">
        <f t="shared" si="12"/>
        <v>0.5</v>
      </c>
      <c r="G118" s="7">
        <f t="shared" si="12"/>
        <v>0</v>
      </c>
      <c r="H118" s="7">
        <f t="shared" si="12"/>
        <v>0</v>
      </c>
      <c r="I118" s="7">
        <f t="shared" si="12"/>
        <v>0</v>
      </c>
      <c r="J118" s="100">
        <f>SUM(B118:I118)</f>
        <v>1</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COUNTIF('KEMBE_Cleaned Data'!DI:DI,"OUI")</f>
        <v>0</v>
      </c>
      <c r="C122" s="3">
        <f>COUNTIF('KEMBE_Cleaned Data'!DI:DI,"non")</f>
        <v>0</v>
      </c>
      <c r="D122" s="3">
        <f>COUNTIF('KEMBE_Cleaned Data'!DI:DI,"nsp")</f>
        <v>2</v>
      </c>
      <c r="E122" s="111">
        <f>SUM(B122:D122)</f>
        <v>2</v>
      </c>
      <c r="F122" s="10"/>
      <c r="G122" s="10"/>
      <c r="H122" s="10"/>
      <c r="I122" s="10"/>
      <c r="J122" s="10"/>
      <c r="K122" s="10"/>
      <c r="L122" s="10"/>
      <c r="M122" s="10"/>
      <c r="N122" s="10"/>
      <c r="O122" s="10"/>
      <c r="P122" s="10"/>
      <c r="Q122" s="10"/>
      <c r="R122" s="10"/>
    </row>
    <row r="123" spans="1:26" ht="37.5" x14ac:dyDescent="0.3">
      <c r="A123" s="53" t="s">
        <v>1921</v>
      </c>
      <c r="B123" s="7">
        <f>(B122/$B$95)</f>
        <v>0</v>
      </c>
      <c r="C123" s="7">
        <f>(C122/$B$95)</f>
        <v>0</v>
      </c>
      <c r="D123" s="7">
        <f>(D122/$B$95)</f>
        <v>1</v>
      </c>
      <c r="E123" s="100">
        <f>SUM(B123:D123)</f>
        <v>1</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COUNTIF('KEMBE_Cleaned Data'!DR:DR,"1")</f>
        <v>1</v>
      </c>
      <c r="C127" s="3">
        <f>COUNTIF('KEMBE_Cleaned Data'!DS:DS,"1")</f>
        <v>1</v>
      </c>
      <c r="D127" s="3">
        <f>COUNTIF('KEMBE_Cleaned Data'!DT:DT,"1")</f>
        <v>0</v>
      </c>
      <c r="E127" s="3">
        <f>COUNTIF('KEMBE_Cleaned Data'!DU:DU,"1")</f>
        <v>0</v>
      </c>
      <c r="F127" s="3">
        <f>COUNTIF('KEMBE_Cleaned Data'!DV:DV,"1")</f>
        <v>2</v>
      </c>
      <c r="G127" s="10"/>
      <c r="H127" s="10"/>
      <c r="I127" s="10"/>
      <c r="J127" s="10"/>
      <c r="K127" s="10"/>
      <c r="L127" s="10"/>
      <c r="M127" s="10"/>
      <c r="N127" s="10"/>
      <c r="O127" s="10"/>
      <c r="P127" s="10"/>
      <c r="Q127" s="10"/>
      <c r="R127" s="10"/>
    </row>
    <row r="128" spans="1:26" s="56" customFormat="1" ht="25.5" x14ac:dyDescent="0.3">
      <c r="A128" s="54" t="s">
        <v>3328</v>
      </c>
      <c r="B128" s="55">
        <f>(B127/$B$3)</f>
        <v>0.125</v>
      </c>
      <c r="C128" s="55">
        <f t="shared" ref="C128:F128" si="13">(C127/$B$3)</f>
        <v>0.125</v>
      </c>
      <c r="D128" s="55">
        <f t="shared" si="13"/>
        <v>0</v>
      </c>
      <c r="E128" s="55">
        <f t="shared" si="13"/>
        <v>0</v>
      </c>
      <c r="F128" s="55">
        <f t="shared" si="13"/>
        <v>0.25</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10"/>
      <c r="F129" s="10"/>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N131" s="112"/>
      <c r="O131" s="98"/>
      <c r="P131" s="98"/>
      <c r="Q131" s="98"/>
      <c r="R131" s="98"/>
      <c r="S131" s="98"/>
      <c r="T131" s="98"/>
      <c r="U131" s="98"/>
      <c r="V131" s="98"/>
      <c r="W131" s="98"/>
      <c r="X131" s="98"/>
      <c r="Y131" s="98"/>
      <c r="Z131" s="98"/>
    </row>
    <row r="132" spans="1:26" x14ac:dyDescent="0.3">
      <c r="A132" s="3">
        <f>COUNTIF('KEMBE_Cleaned Data'!DY:DY,"1")</f>
        <v>1</v>
      </c>
      <c r="B132" s="3">
        <f>COUNTIF('KEMBE_Cleaned Data'!DZ:DZ,"1")</f>
        <v>1</v>
      </c>
      <c r="C132" s="3">
        <f>COUNTIF('KEMBE_Cleaned Data'!EA:EA,"1")</f>
        <v>0</v>
      </c>
      <c r="D132" s="3">
        <f>COUNTIF('KEMBE_Cleaned Data'!EB:EB,"1")</f>
        <v>0</v>
      </c>
      <c r="E132" s="3">
        <f>COUNTIF('KEMBE_Cleaned Data'!EC:EC,"1")</f>
        <v>0</v>
      </c>
      <c r="F132" s="3">
        <f>COUNTIF('KEMBE_Cleaned Data'!ED:ED,"1")</f>
        <v>0</v>
      </c>
      <c r="G132" s="3">
        <f>COUNTIF('KEMBE_Cleaned Data'!EE:EE,"1")</f>
        <v>0</v>
      </c>
      <c r="H132" s="3">
        <f>COUNTIF('KEMBE_Cleaned Data'!EF:EF,"1")</f>
        <v>2</v>
      </c>
      <c r="I132" s="3">
        <f>COUNTIF('KEMBE_Cleaned Data'!EG:EG,"1")</f>
        <v>0</v>
      </c>
      <c r="J132" s="3">
        <f>COUNTIF('KEMBE_Cleaned Data'!EH:EH,"1")</f>
        <v>0</v>
      </c>
      <c r="K132" s="3">
        <f>COUNTIF('KEMBE_Cleaned Data'!EI:EI,"1")</f>
        <v>0</v>
      </c>
      <c r="L132" s="3">
        <f>COUNTIF('KEMBE_Cleaned Data'!EJ:EJ,"1")</f>
        <v>0</v>
      </c>
      <c r="N132" s="10"/>
      <c r="O132" s="10"/>
      <c r="P132" s="10"/>
      <c r="Q132" s="10"/>
      <c r="R132" s="10"/>
    </row>
    <row r="133" spans="1:26" x14ac:dyDescent="0.3">
      <c r="A133" s="10"/>
      <c r="B133" s="10"/>
      <c r="C133" s="10"/>
      <c r="D133" s="10"/>
      <c r="E133" s="10"/>
      <c r="F133" s="10"/>
      <c r="G133" s="10"/>
      <c r="H133" s="10"/>
      <c r="I133" s="10"/>
      <c r="J133" s="10"/>
      <c r="K133" s="10"/>
      <c r="L133" s="10"/>
      <c r="M133" s="10"/>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5">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N135" s="98"/>
      <c r="O135" s="98"/>
      <c r="P135" s="98"/>
      <c r="Q135" s="98"/>
      <c r="R135" s="98"/>
      <c r="S135" s="98"/>
      <c r="T135" s="98"/>
      <c r="U135" s="98"/>
      <c r="V135" s="98"/>
      <c r="W135" s="98"/>
      <c r="X135" s="98"/>
      <c r="Y135" s="98"/>
      <c r="Z135" s="98"/>
    </row>
    <row r="136" spans="1:26" x14ac:dyDescent="0.3">
      <c r="A136" s="24">
        <f>COUNTIF('KEMBE_Cleaned Data'!EN:EN,"1")</f>
        <v>0</v>
      </c>
      <c r="B136" s="24">
        <f>COUNTIF('KEMBE_Cleaned Data'!EO:EO,"1")</f>
        <v>1</v>
      </c>
      <c r="C136" s="24">
        <f>COUNTIF('KEMBE_Cleaned Data'!EP:EP,"1")</f>
        <v>0</v>
      </c>
      <c r="D136" s="24">
        <f>COUNTIF('KEMBE_Cleaned Data'!EQ:EQ,"1")</f>
        <v>0</v>
      </c>
      <c r="E136" s="24">
        <f>COUNTIF('KEMBE_Cleaned Data'!ER:ER,"1")</f>
        <v>2</v>
      </c>
      <c r="F136" s="24">
        <f>COUNTIF('KEMBE_Cleaned Data'!ES:ES,"1")</f>
        <v>0</v>
      </c>
      <c r="G136" s="24">
        <f>COUNTIF('KEMBE_Cleaned Data'!ET:ET,"1")</f>
        <v>0</v>
      </c>
      <c r="H136" s="24">
        <f>COUNTIF('KEMBE_Cleaned Data'!EU:EU,"1")</f>
        <v>0</v>
      </c>
      <c r="I136" s="24">
        <f>COUNTIF('KEMBE_Cleaned Data'!EV:EV,"1")</f>
        <v>0</v>
      </c>
      <c r="J136" s="24">
        <f>COUNTIF('KEMBE_Cleaned Data'!EW:EW,"1")</f>
        <v>1</v>
      </c>
      <c r="K136" s="24">
        <f>COUNTIF('KEMBE_Cleaned Data'!EX:EX,"1")</f>
        <v>0</v>
      </c>
      <c r="L136" s="24">
        <f>COUNTIF('KEMBE_Cleaned Data'!EY:EY,"1")</f>
        <v>0</v>
      </c>
      <c r="N136" s="10"/>
      <c r="O136" s="10"/>
      <c r="P136" s="10"/>
      <c r="Q136" s="10"/>
      <c r="R136" s="10"/>
    </row>
    <row r="137" spans="1:26" x14ac:dyDescent="0.3">
      <c r="A137" s="10"/>
      <c r="B137" s="10"/>
      <c r="C137" s="10"/>
      <c r="D137" s="10"/>
      <c r="E137" s="10"/>
      <c r="F137" s="10"/>
      <c r="G137" s="10"/>
      <c r="H137" s="10"/>
      <c r="I137" s="10"/>
      <c r="J137" s="10"/>
      <c r="K137" s="10"/>
      <c r="L137" s="10"/>
      <c r="M137" s="10"/>
      <c r="N137" s="10"/>
      <c r="O137" s="10"/>
      <c r="P137" s="10"/>
      <c r="Q137" s="10"/>
      <c r="R137" s="10"/>
    </row>
    <row r="138" spans="1:26" ht="15.5" x14ac:dyDescent="0.35">
      <c r="A138" s="29" t="s">
        <v>1334</v>
      </c>
      <c r="B138" s="10"/>
      <c r="C138" s="10"/>
      <c r="D138" s="10"/>
      <c r="E138" s="10"/>
      <c r="F138" s="10"/>
      <c r="G138" s="10"/>
      <c r="H138" s="10"/>
      <c r="I138" s="10"/>
      <c r="J138" s="10"/>
      <c r="K138" s="10"/>
      <c r="L138" s="10"/>
      <c r="M138" s="10"/>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COUNTIF('KEMBE_Cleaned Data'!FB:FB,"OUI")</f>
        <v>2</v>
      </c>
      <c r="C140" s="24">
        <f>COUNTIF('KEMBE_Cleaned Data'!FB:FB,"non")</f>
        <v>6</v>
      </c>
      <c r="D140" s="111">
        <f>SUM(B140:C140)</f>
        <v>8</v>
      </c>
      <c r="E140" s="10"/>
      <c r="F140" s="10"/>
      <c r="G140" s="10"/>
      <c r="H140" s="10"/>
      <c r="I140" s="10"/>
      <c r="J140" s="10"/>
      <c r="K140" s="10"/>
      <c r="L140" s="10"/>
      <c r="M140" s="10"/>
      <c r="N140" s="10"/>
      <c r="O140" s="10"/>
      <c r="P140" s="10"/>
      <c r="Q140" s="10"/>
      <c r="R140" s="10"/>
    </row>
    <row r="141" spans="1:26" ht="26" x14ac:dyDescent="0.3">
      <c r="A141" s="53" t="s">
        <v>3246</v>
      </c>
      <c r="B141" s="7">
        <f>(B140/$B$3)</f>
        <v>0.25</v>
      </c>
      <c r="C141" s="7">
        <f>(C140/$B$3)</f>
        <v>0.75</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COUNTIF('KEMBE_Cleaned Data'!FD:FD,"1")</f>
        <v>0</v>
      </c>
      <c r="D145" s="24">
        <f>COUNTIF('KEMBE_Cleaned Data'!FE:FE,"1")</f>
        <v>1</v>
      </c>
      <c r="E145" s="24">
        <f>COUNTIF('KEMBE_Cleaned Data'!FF:FF,"1")</f>
        <v>0</v>
      </c>
      <c r="F145" s="24">
        <f>COUNTIF('KEMBE_Cleaned Data'!FG:FG,"1")</f>
        <v>0</v>
      </c>
      <c r="G145" s="24">
        <f>COUNTIF('KEMBE_Cleaned Data'!FH:FH,"1")</f>
        <v>1</v>
      </c>
      <c r="H145" s="24">
        <f>COUNTIF('KEMBE_Cleaned Data'!FI:FI,"1")</f>
        <v>0</v>
      </c>
      <c r="I145" s="24">
        <f>COUNTIF('KEMBE_Cleaned Data'!FJ:FJ,"1")</f>
        <v>0</v>
      </c>
      <c r="J145" s="10"/>
      <c r="K145" s="10"/>
      <c r="L145" s="10"/>
      <c r="M145" s="10"/>
      <c r="N145" s="10"/>
      <c r="O145" s="10"/>
      <c r="P145" s="10"/>
      <c r="Q145" s="10"/>
      <c r="R145" s="10"/>
    </row>
    <row r="146" spans="1:26" ht="49" x14ac:dyDescent="0.3">
      <c r="A146" s="10"/>
      <c r="B146" s="53" t="s">
        <v>3255</v>
      </c>
      <c r="C146" s="7">
        <f>C145/$B$140</f>
        <v>0</v>
      </c>
      <c r="D146" s="7">
        <f t="shared" ref="D146:I146" si="14">D145/$B$140</f>
        <v>0.5</v>
      </c>
      <c r="E146" s="7">
        <f t="shared" si="14"/>
        <v>0</v>
      </c>
      <c r="F146" s="7">
        <f t="shared" si="14"/>
        <v>0</v>
      </c>
      <c r="G146" s="7">
        <f t="shared" si="14"/>
        <v>0.5</v>
      </c>
      <c r="H146" s="7">
        <f t="shared" si="14"/>
        <v>0</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COUNTIF('KEMBE_Cleaned Data'!FM:FM,"1")</f>
        <v>0</v>
      </c>
      <c r="D150" s="24">
        <f>COUNTIF('KEMBE_Cleaned Data'!FN:FN,"1")</f>
        <v>1</v>
      </c>
      <c r="E150" s="24">
        <f>COUNTIF('KEMBE_Cleaned Data'!FO:FO,"1")</f>
        <v>0</v>
      </c>
      <c r="F150" s="24">
        <f>COUNTIF('KEMBE_Cleaned Data'!FP:FP,"1")</f>
        <v>0</v>
      </c>
      <c r="G150" s="24">
        <f>COUNTIF('KEMBE_Cleaned Data'!FQ:FQ,"1")</f>
        <v>0</v>
      </c>
      <c r="H150" s="24">
        <f>COUNTIF('KEMBE_Cleaned Data'!FR:FR,"1")</f>
        <v>0</v>
      </c>
      <c r="I150" s="24">
        <f>COUNTIF('KEMBE_Cleaned Data'!FS:FS,"1")</f>
        <v>0</v>
      </c>
      <c r="J150" s="24">
        <f>COUNTIF('KEMBE_Cleaned Data'!FT:FT,"1")</f>
        <v>0</v>
      </c>
      <c r="K150" s="24">
        <f>COUNTIF('KEMBE_Cleaned Data'!FU:FU,"1")</f>
        <v>0</v>
      </c>
      <c r="L150" s="24">
        <f>COUNTIF('KEMBE_Cleaned Data'!FV:FV,"1")</f>
        <v>1</v>
      </c>
      <c r="M150" s="24">
        <f>COUNTIF('KEMBE_Cleaned Data'!FW:FW,"1")</f>
        <v>0</v>
      </c>
      <c r="N150" s="24">
        <f>COUNTIF('KEMBE_Cleaned Data'!FX:FX,"1")</f>
        <v>0</v>
      </c>
      <c r="O150" s="24">
        <f>COUNTIF('KEMBE_Cleaned Data'!FY:FY,"1")</f>
        <v>0</v>
      </c>
      <c r="P150" s="10"/>
      <c r="Q150" s="10"/>
      <c r="R150" s="10"/>
    </row>
    <row r="151" spans="1:26" ht="49" x14ac:dyDescent="0.3">
      <c r="A151" s="10"/>
      <c r="B151" s="53" t="s">
        <v>3255</v>
      </c>
      <c r="C151" s="7">
        <f>C150/$B$140</f>
        <v>0</v>
      </c>
      <c r="D151" s="7">
        <f t="shared" ref="D151:O151" si="15">D150/$B$140</f>
        <v>0.5</v>
      </c>
      <c r="E151" s="7">
        <f t="shared" si="15"/>
        <v>0</v>
      </c>
      <c r="F151" s="7">
        <f t="shared" si="15"/>
        <v>0</v>
      </c>
      <c r="G151" s="7">
        <f t="shared" si="15"/>
        <v>0</v>
      </c>
      <c r="H151" s="7">
        <f t="shared" si="15"/>
        <v>0</v>
      </c>
      <c r="I151" s="7">
        <f t="shared" si="15"/>
        <v>0</v>
      </c>
      <c r="J151" s="7">
        <f t="shared" si="15"/>
        <v>0</v>
      </c>
      <c r="K151" s="7">
        <f t="shared" si="15"/>
        <v>0</v>
      </c>
      <c r="L151" s="7">
        <f t="shared" si="15"/>
        <v>0.5</v>
      </c>
      <c r="M151" s="7">
        <f t="shared" si="15"/>
        <v>0</v>
      </c>
      <c r="N151" s="7">
        <f t="shared" si="15"/>
        <v>0</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COUNTIF('KEMBE_Cleaned Data'!GA:GA,"OUI")</f>
        <v>1</v>
      </c>
      <c r="D155" s="24">
        <f>COUNTIF('KEMBE_Cleaned Data'!GA:GA,"non")</f>
        <v>1</v>
      </c>
      <c r="E155" s="111">
        <f>SUM(C155:D155)</f>
        <v>2</v>
      </c>
      <c r="F155" s="10"/>
      <c r="G155" s="10"/>
      <c r="H155" s="10"/>
      <c r="I155" s="10"/>
      <c r="J155" s="10"/>
      <c r="K155" s="10"/>
      <c r="L155" s="10"/>
      <c r="M155" s="10"/>
      <c r="N155" s="10"/>
      <c r="O155" s="10"/>
      <c r="P155" s="10"/>
      <c r="Q155" s="10"/>
      <c r="R155" s="10"/>
    </row>
    <row r="156" spans="1:26" ht="49" x14ac:dyDescent="0.3">
      <c r="A156" s="10"/>
      <c r="B156" s="53" t="s">
        <v>3255</v>
      </c>
      <c r="C156" s="7">
        <f>(C155/$B$140)</f>
        <v>0.5</v>
      </c>
      <c r="D156" s="7">
        <f>(D155/$B$140)</f>
        <v>0.5</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COUNTIF('KEMBE_Cleaned Data'!GC:GC,"1")</f>
        <v>0</v>
      </c>
      <c r="E160" s="4">
        <f>COUNTIF('KEMBE_Cleaned Data'!GD:GD,"1")</f>
        <v>0</v>
      </c>
      <c r="F160" s="4">
        <f>COUNTIF('KEMBE_Cleaned Data'!GE:GE,"1")</f>
        <v>0</v>
      </c>
      <c r="G160" s="4">
        <f>COUNTIF('KEMBE_Cleaned Data'!GF:GF,"1")</f>
        <v>1</v>
      </c>
      <c r="H160" s="4">
        <f>COUNTIF('KEMBE_Cleaned Data'!GG:GG,"1")</f>
        <v>0</v>
      </c>
      <c r="I160" s="10"/>
      <c r="J160" s="10"/>
      <c r="K160" s="10"/>
      <c r="L160" s="10"/>
      <c r="M160" s="10"/>
      <c r="N160" s="10"/>
      <c r="O160" s="10"/>
      <c r="P160" s="10"/>
      <c r="Q160" s="10"/>
      <c r="R160" s="10"/>
    </row>
    <row r="161" spans="1:13" s="10" customFormat="1" ht="49" x14ac:dyDescent="0.3">
      <c r="C161" s="53" t="s">
        <v>3256</v>
      </c>
      <c r="D161" s="7">
        <f>D160/$D$155</f>
        <v>0</v>
      </c>
      <c r="E161" s="7">
        <f t="shared" ref="E161:H161" si="16">E160/$D$155</f>
        <v>0</v>
      </c>
      <c r="F161" s="7">
        <f t="shared" si="16"/>
        <v>0</v>
      </c>
      <c r="G161" s="7">
        <f t="shared" si="16"/>
        <v>1</v>
      </c>
      <c r="H161" s="7">
        <f t="shared" si="16"/>
        <v>0</v>
      </c>
    </row>
    <row r="162" spans="1:13" s="10" customFormat="1" x14ac:dyDescent="0.3"/>
    <row r="163" spans="1:13" s="10" customFormat="1" x14ac:dyDescent="0.3"/>
    <row r="164" spans="1:13" s="10" customFormat="1" ht="15.5" x14ac:dyDescent="0.35">
      <c r="A164" s="9" t="s">
        <v>1301</v>
      </c>
      <c r="C164" s="103" t="s">
        <v>3245</v>
      </c>
    </row>
    <row r="165" spans="1:13" s="10" customFormat="1" x14ac:dyDescent="0.3"/>
    <row r="166" spans="1:13" s="10" customFormat="1"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row>
    <row r="167" spans="1:13" s="10" customFormat="1" x14ac:dyDescent="0.3">
      <c r="A167" s="24">
        <f>COUNTIF('KEMBE_Cleaned Data'!GJ:GJ,"1")</f>
        <v>0</v>
      </c>
      <c r="B167" s="24">
        <f>COUNTIF('KEMBE_Cleaned Data'!GK:GK,"1")</f>
        <v>3</v>
      </c>
      <c r="C167" s="24">
        <f>COUNTIF('KEMBE_Cleaned Data'!GL:GL,"1")</f>
        <v>2</v>
      </c>
      <c r="D167" s="24">
        <f>COUNTIF('KEMBE_Cleaned Data'!GM:GM,"1")</f>
        <v>0</v>
      </c>
      <c r="E167" s="24">
        <f>COUNTIF('KEMBE_Cleaned Data'!GN:GN,"1")</f>
        <v>3</v>
      </c>
      <c r="F167" s="24">
        <f>COUNTIF('KEMBE_Cleaned Data'!GO:GO,"1")</f>
        <v>0</v>
      </c>
      <c r="G167" s="24">
        <f>COUNTIF('KEMBE_Cleaned Data'!GP:GP,"1")</f>
        <v>3</v>
      </c>
      <c r="H167" s="24">
        <f>COUNTIF('KEMBE_Cleaned Data'!GQ:GQ,"1")</f>
        <v>4</v>
      </c>
      <c r="I167" s="24">
        <f>COUNTIF('KEMBE_Cleaned Data'!GR:GR,"1")</f>
        <v>2</v>
      </c>
      <c r="J167" s="24">
        <f>COUNTIF('KEMBE_Cleaned Data'!GS:GS,"1")</f>
        <v>1</v>
      </c>
      <c r="K167" s="24">
        <f>COUNTIF('KEMBE_Cleaned Data'!GT:GT,"1")</f>
        <v>0</v>
      </c>
      <c r="L167" s="24">
        <f>COUNTIF('KEMBE_Cleaned Data'!GU:GU,"1")</f>
        <v>0</v>
      </c>
      <c r="M167" s="24">
        <f>COUNTIF('KEMBE_Cleaned Data'!GV:GV,"1")</f>
        <v>0</v>
      </c>
    </row>
    <row r="168" spans="1:13" s="10" customFormat="1" x14ac:dyDescent="0.3"/>
    <row r="169" spans="1:13" s="10" customFormat="1" x14ac:dyDescent="0.3"/>
    <row r="170" spans="1:13" s="10" customFormat="1" x14ac:dyDescent="0.3"/>
    <row r="171" spans="1:13" s="10" customFormat="1" x14ac:dyDescent="0.3"/>
    <row r="172" spans="1:13" s="10" customFormat="1" x14ac:dyDescent="0.3"/>
    <row r="173" spans="1:13" s="10" customFormat="1" x14ac:dyDescent="0.3"/>
    <row r="174" spans="1:13" s="10" customFormat="1" x14ac:dyDescent="0.3"/>
    <row r="175" spans="1:13" s="10" customFormat="1" x14ac:dyDescent="0.3"/>
    <row r="176" spans="1:13"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pans="1:10" s="10" customFormat="1" x14ac:dyDescent="0.3"/>
    <row r="210" spans="1:10" s="10" customFormat="1" x14ac:dyDescent="0.3"/>
    <row r="211" spans="1:10" s="10" customFormat="1" x14ac:dyDescent="0.3"/>
    <row r="212" spans="1:10" s="10" customFormat="1" x14ac:dyDescent="0.3"/>
    <row r="213" spans="1:10" s="10" customFormat="1" x14ac:dyDescent="0.3"/>
    <row r="214" spans="1:10" s="10" customFormat="1" x14ac:dyDescent="0.3"/>
    <row r="215" spans="1:10" s="10" customFormat="1" x14ac:dyDescent="0.3"/>
    <row r="216" spans="1:10" s="10" customFormat="1" x14ac:dyDescent="0.3"/>
    <row r="217" spans="1:10" s="10" customFormat="1" x14ac:dyDescent="0.3"/>
    <row r="218" spans="1:10" s="10" customFormat="1" x14ac:dyDescent="0.3"/>
    <row r="219" spans="1:10" s="10" customFormat="1" x14ac:dyDescent="0.3"/>
    <row r="220" spans="1:10" s="10" customFormat="1" x14ac:dyDescent="0.3"/>
    <row r="221" spans="1:10" s="10" customFormat="1" x14ac:dyDescent="0.3"/>
    <row r="222" spans="1:10" s="10" customFormat="1" x14ac:dyDescent="0.3"/>
    <row r="223" spans="1:10" s="10" customFormat="1" x14ac:dyDescent="0.3">
      <c r="A223" s="1"/>
      <c r="B223" s="1"/>
      <c r="C223" s="1"/>
      <c r="D223" s="1"/>
      <c r="E223" s="1"/>
      <c r="F223" s="1"/>
      <c r="G223" s="1"/>
      <c r="H223" s="1"/>
      <c r="I223" s="1"/>
      <c r="J223" s="1"/>
    </row>
  </sheetData>
  <conditionalFormatting sqref="A132:L132">
    <cfRule type="colorScale" priority="36">
      <colorScale>
        <cfvo type="min"/>
        <cfvo type="max"/>
        <color theme="6" tint="0.79998168889431442"/>
        <color theme="5" tint="0.39997558519241921"/>
      </colorScale>
    </cfRule>
  </conditionalFormatting>
  <conditionalFormatting sqref="A136:L136">
    <cfRule type="colorScale" priority="35">
      <colorScale>
        <cfvo type="min"/>
        <cfvo type="max"/>
        <color theme="6" tint="0.79998168889431442"/>
        <color theme="5" tint="0.39997558519241921"/>
      </colorScale>
    </cfRule>
  </conditionalFormatting>
  <conditionalFormatting sqref="C150:O150">
    <cfRule type="colorScale" priority="34">
      <colorScale>
        <cfvo type="min"/>
        <cfvo type="max"/>
        <color theme="6" tint="0.79998168889431442"/>
        <color theme="5" tint="0.39997558519241921"/>
      </colorScale>
    </cfRule>
  </conditionalFormatting>
  <conditionalFormatting sqref="D160:H160">
    <cfRule type="colorScale" priority="33">
      <colorScale>
        <cfvo type="min"/>
        <cfvo type="max"/>
        <color theme="6" tint="0.79998168889431442"/>
        <color theme="5" tint="0.39997558519241921"/>
      </colorScale>
    </cfRule>
  </conditionalFormatting>
  <conditionalFormatting sqref="A167:M167">
    <cfRule type="colorScale" priority="32">
      <colorScale>
        <cfvo type="min"/>
        <cfvo type="max"/>
        <color theme="6" tint="0.79998168889431442"/>
        <color theme="5" tint="0.39997558519241921"/>
      </colorScale>
    </cfRule>
  </conditionalFormatting>
  <conditionalFormatting sqref="B53:H53 A60:F60 D61:F61">
    <cfRule type="colorScale" priority="31">
      <colorScale>
        <cfvo type="min"/>
        <cfvo type="max"/>
        <color theme="6" tint="0.79998168889431442"/>
        <color theme="5" tint="0.39997558519241921"/>
      </colorScale>
    </cfRule>
  </conditionalFormatting>
  <conditionalFormatting sqref="B68:C68">
    <cfRule type="colorScale" priority="30">
      <colorScale>
        <cfvo type="min"/>
        <cfvo type="max"/>
        <color theme="6" tint="0.79998168889431442"/>
        <color theme="5" tint="0.39997558519241921"/>
      </colorScale>
    </cfRule>
  </conditionalFormatting>
  <conditionalFormatting sqref="C78:J78">
    <cfRule type="colorScale" priority="29">
      <colorScale>
        <cfvo type="min"/>
        <cfvo type="max"/>
        <color theme="6" tint="0.79998168889431442"/>
        <color theme="5" tint="0.39997558519241921"/>
      </colorScale>
    </cfRule>
  </conditionalFormatting>
  <conditionalFormatting sqref="B38:L38">
    <cfRule type="colorScale" priority="28">
      <colorScale>
        <cfvo type="min"/>
        <cfvo type="max"/>
        <color theme="6" tint="0.79998168889431442"/>
        <color theme="5" tint="0.39997558519241921"/>
      </colorScale>
    </cfRule>
  </conditionalFormatting>
  <conditionalFormatting sqref="B13:C13">
    <cfRule type="colorScale" priority="27">
      <colorScale>
        <cfvo type="min"/>
        <cfvo type="max"/>
        <color theme="6" tint="0.79998168889431442"/>
        <color theme="5" tint="0.39997558519241921"/>
      </colorScale>
    </cfRule>
  </conditionalFormatting>
  <conditionalFormatting sqref="B7:G7">
    <cfRule type="colorScale" priority="26">
      <colorScale>
        <cfvo type="min"/>
        <cfvo type="max"/>
        <color theme="6" tint="0.79998168889431442"/>
        <color theme="5" tint="0.39997558519241921"/>
      </colorScale>
    </cfRule>
  </conditionalFormatting>
  <conditionalFormatting sqref="B90:D90">
    <cfRule type="colorScale" priority="25">
      <colorScale>
        <cfvo type="min"/>
        <cfvo type="max"/>
        <color theme="6" tint="0.79998168889431442"/>
        <color theme="5" tint="0.39997558519241921"/>
      </colorScale>
    </cfRule>
  </conditionalFormatting>
  <conditionalFormatting sqref="D13">
    <cfRule type="colorScale" priority="24">
      <colorScale>
        <cfvo type="min"/>
        <cfvo type="max"/>
        <color theme="6" tint="0.79998168889431442"/>
        <color theme="5" tint="0.39997558519241921"/>
      </colorScale>
    </cfRule>
  </conditionalFormatting>
  <conditionalFormatting sqref="D18:F18">
    <cfRule type="colorScale" priority="23">
      <colorScale>
        <cfvo type="min"/>
        <cfvo type="max"/>
        <color theme="6" tint="0.79998168889431442"/>
        <color theme="5" tint="0.39997558519241921"/>
      </colorScale>
    </cfRule>
  </conditionalFormatting>
  <conditionalFormatting sqref="B58:F58">
    <cfRule type="colorScale" priority="22">
      <colorScale>
        <cfvo type="min"/>
        <cfvo type="max"/>
        <color theme="6" tint="0.79998168889431442"/>
        <color theme="5" tint="0.39997558519241921"/>
      </colorScale>
    </cfRule>
  </conditionalFormatting>
  <conditionalFormatting sqref="A44:A45">
    <cfRule type="duplicateValues" dxfId="11" priority="21"/>
  </conditionalFormatting>
  <conditionalFormatting sqref="A52:A53">
    <cfRule type="duplicateValues" dxfId="10"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9"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D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6">
      <colorScale>
        <cfvo type="min"/>
        <cfvo type="max"/>
        <color theme="6" tint="0.79998168889431442"/>
        <color theme="5" tint="0.39997558519241921"/>
      </colorScale>
    </cfRule>
  </conditionalFormatting>
  <conditionalFormatting sqref="D33:H33">
    <cfRule type="colorScale" priority="5">
      <colorScale>
        <cfvo type="min"/>
        <cfvo type="max"/>
        <color theme="6" tint="0.79998168889431442"/>
        <color theme="5" tint="0.39997558519241921"/>
      </colorScale>
    </cfRule>
  </conditionalFormatting>
  <conditionalFormatting sqref="H7">
    <cfRule type="colorScale" priority="4">
      <colorScale>
        <cfvo type="min"/>
        <cfvo type="max"/>
        <color theme="6" tint="0.79998168889431442"/>
        <color theme="5" tint="0.39997558519241921"/>
      </colorScale>
    </cfRule>
  </conditionalFormatting>
  <conditionalFormatting sqref="B63:H63">
    <cfRule type="colorScale" priority="3">
      <colorScale>
        <cfvo type="min"/>
        <cfvo type="max"/>
        <color theme="6" tint="0.79998168889431442"/>
        <color theme="5" tint="0.39997558519241921"/>
      </colorScale>
    </cfRule>
  </conditionalFormatting>
  <conditionalFormatting sqref="B127:F127">
    <cfRule type="colorScale" priority="2">
      <colorScale>
        <cfvo type="min"/>
        <cfvo type="max"/>
        <color theme="6" tint="0.79998168889431442"/>
        <color theme="5" tint="0.39997558519241921"/>
      </colorScale>
    </cfRule>
  </conditionalFormatting>
  <conditionalFormatting sqref="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Z304"/>
  <sheetViews>
    <sheetView zoomScale="80" zoomScaleNormal="80" workbookViewId="0">
      <selection activeCell="A175" sqref="A175"/>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8.90625" style="10" customWidth="1"/>
    <col min="9" max="9" width="11.7265625" style="10" customWidth="1"/>
    <col min="10" max="10" width="12.453125" style="10" customWidth="1"/>
    <col min="11" max="11" width="12.36328125" style="10" customWidth="1"/>
    <col min="12" max="12" width="15" style="10" customWidth="1"/>
    <col min="13" max="16384" width="8.81640625" style="10"/>
  </cols>
  <sheetData>
    <row r="2" spans="1:13" ht="15.5" x14ac:dyDescent="0.35">
      <c r="A2" s="9" t="s">
        <v>1294</v>
      </c>
    </row>
    <row r="3" spans="1:13" ht="15.5" x14ac:dyDescent="0.35">
      <c r="A3" s="29" t="s">
        <v>1408</v>
      </c>
      <c r="B3" s="83"/>
      <c r="C3" s="84" t="str">
        <f>IF(COUNTIF('KEMBE_Cleaned Data'!OK:OK,"hopital_district")=1,"OUI","NON")</f>
        <v>OUI</v>
      </c>
    </row>
    <row r="4" spans="1:13" ht="34" customHeight="1" x14ac:dyDescent="0.3">
      <c r="A4" s="155" t="s">
        <v>3318</v>
      </c>
      <c r="B4" s="155"/>
      <c r="C4" s="73">
        <f>COUNTIFS('KEMBE_Cleaned Data'!N:N,"sante",'KEMBE_Cleaned Data'!J:J,"KEMBE")</f>
        <v>2</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COUNTIF('KEMBE_Cleaned Data'!ON:ON,"oui")</f>
        <v>2</v>
      </c>
      <c r="C9" s="24">
        <f>COUNTIF('KEMBE_Cleaned Data'!ON:ON,"non")</f>
        <v>0</v>
      </c>
      <c r="D9" s="24">
        <f>COUNTIF('KEMBE_Cleaned Data'!ON:ON,"partiel")</f>
        <v>0</v>
      </c>
      <c r="E9" s="52">
        <f>SUM(B9+D9)</f>
        <v>2</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6" t="s">
        <v>2033</v>
      </c>
      <c r="D13" s="6" t="s">
        <v>1938</v>
      </c>
      <c r="E13" s="6" t="s">
        <v>2034</v>
      </c>
      <c r="F13" s="6" t="s">
        <v>1939</v>
      </c>
      <c r="G13" s="6" t="s">
        <v>1940</v>
      </c>
      <c r="H13" s="6" t="s">
        <v>2035</v>
      </c>
      <c r="I13" s="6" t="s">
        <v>2036</v>
      </c>
      <c r="J13" s="6" t="s">
        <v>1942</v>
      </c>
      <c r="K13" s="6" t="s">
        <v>1943</v>
      </c>
      <c r="L13" s="6" t="s">
        <v>1905</v>
      </c>
      <c r="M13" s="6" t="s">
        <v>1220</v>
      </c>
    </row>
    <row r="14" spans="1:13" x14ac:dyDescent="0.3">
      <c r="B14" s="3" t="s">
        <v>1207</v>
      </c>
      <c r="C14" s="3">
        <f>COUNTIF('KEMBE_Cleaned Data'!OS:OS,"1")</f>
        <v>0</v>
      </c>
      <c r="D14" s="3">
        <f>COUNTIF('KEMBE_Cleaned Data'!OT:OT,"1")</f>
        <v>0</v>
      </c>
      <c r="E14" s="3">
        <f>COUNTIF('KEMBE_Cleaned Data'!PE:PE,"1")</f>
        <v>0</v>
      </c>
      <c r="F14" s="3">
        <f>COUNTIF('KEMBE_Cleaned Data'!PF:PF,"1")</f>
        <v>0</v>
      </c>
      <c r="G14" s="3">
        <f>COUNTIF('KEMBE_Cleaned Data'!PG:PG,"1")</f>
        <v>0</v>
      </c>
      <c r="H14" s="3">
        <f>COUNTIF('KEMBE_Cleaned Data'!OW:OW,"1")</f>
        <v>0</v>
      </c>
      <c r="I14" s="3">
        <f>COUNTIF('KEMBE_Cleaned Data'!PH:PH,"1")</f>
        <v>0</v>
      </c>
      <c r="J14" s="3">
        <f>COUNTIF('KEMBE_Cleaned Data'!PB:PB,"1")</f>
        <v>0</v>
      </c>
      <c r="K14" s="3">
        <f>COUNTIF('KEMBE_Cleaned Data'!PI:PI,"1")</f>
        <v>0</v>
      </c>
      <c r="L14" s="3">
        <f>COUNTIF('KEMBE_Cleaned Data'!PC:PC,"1")</f>
        <v>0</v>
      </c>
      <c r="M14" s="3">
        <f>COUNTIF('KEMBE_Cleaned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COUNTIF('KEMBE_Cleaned Data'!PK:PK,"moins_six_mois")</f>
        <v>0</v>
      </c>
      <c r="D19" s="3">
        <f>COUNTIF('KEMBE_Cleaned Data'!PK:PK,"six_mois_un_an ")</f>
        <v>0</v>
      </c>
      <c r="E19" s="3">
        <f>COUNTIF('KEMBE_Cleaned Data'!PK:PK,"un_an_trois_ans")</f>
        <v>0</v>
      </c>
      <c r="F19" s="3">
        <f>COUNTIF('KEMBE_Cleaned Data'!PK:PK,"plus_trois_ans")</f>
        <v>0</v>
      </c>
      <c r="G19" s="3">
        <f>COUNTIF('KEMBE_Cleaned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6" t="s">
        <v>1944</v>
      </c>
      <c r="D23" s="6" t="s">
        <v>2037</v>
      </c>
      <c r="E23" s="6" t="s">
        <v>2038</v>
      </c>
      <c r="F23" s="6" t="s">
        <v>2039</v>
      </c>
      <c r="G23" s="6" t="s">
        <v>2040</v>
      </c>
      <c r="H23" s="6" t="s">
        <v>2041</v>
      </c>
      <c r="I23" s="6" t="s">
        <v>2042</v>
      </c>
      <c r="J23" s="6" t="s">
        <v>2043</v>
      </c>
      <c r="K23" s="6" t="s">
        <v>1905</v>
      </c>
      <c r="L23" s="6" t="s">
        <v>1220</v>
      </c>
    </row>
    <row r="24" spans="1:26" x14ac:dyDescent="0.3">
      <c r="B24" s="24" t="s">
        <v>1207</v>
      </c>
      <c r="C24" s="24">
        <f>COUNTIF('KEMBE_Cleaned Data'!OO:OO,"infra_endommagee")</f>
        <v>0</v>
      </c>
      <c r="D24" s="24">
        <f>COUNTIF('KEMBE_Cleaned Data'!OO:OO,"manque_mobilier")</f>
        <v>0</v>
      </c>
      <c r="E24" s="24">
        <f>COUNTIF('KEMBE_Cleaned Data'!OO:OO,"faibles_capacites_accueil")</f>
        <v>0</v>
      </c>
      <c r="F24" s="24">
        <f>COUNTIF('KEMBE_Cleaned Data'!OO:OO,"pbs_appro_eau_elec")</f>
        <v>0</v>
      </c>
      <c r="G24" s="24">
        <f>COUNTIF('KEMBE_Cleaned Data'!OO:OO,"pbs_fin_fonctionnement ")</f>
        <v>0</v>
      </c>
      <c r="H24" s="24">
        <f>COUNTIF('KEMBE_Cleaned Data'!OO:OO,"pbs_fin_fonctionnement_maintenance")</f>
        <v>0</v>
      </c>
      <c r="I24" s="24">
        <f>COUNTIF('KEMBE_Cleaned Data'!OO:OO,"pbs_appro_medicaments")</f>
        <v>0</v>
      </c>
      <c r="J24" s="24">
        <f>COUNTIF('KEMBE_Cleaned Data'!OO:OO,"pbs_personnels_qualifies")</f>
        <v>0</v>
      </c>
      <c r="K24" s="24">
        <f>COUNTIF('KEMBE_Cleaned Data'!OO:OO,"nsp")</f>
        <v>0</v>
      </c>
      <c r="L24" s="24">
        <f>COUNTIF('KEMBE_Cleaned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COUNTIF('KEMBE_Cleaned Data'!OQ:OQ,"moins_six_mois")</f>
        <v>0</v>
      </c>
      <c r="D29" s="3">
        <f>COUNTIF('KEMBE_Cleaned Data'!OQ:OQ,"six_mois_un_an ")</f>
        <v>0</v>
      </c>
      <c r="E29" s="3">
        <f>COUNTIF('KEMBE_Cleaned Data'!OQ:OQ,"un_an_trois_ans")</f>
        <v>0</v>
      </c>
      <c r="F29" s="3">
        <f>COUNTIF('KEMBE_Cleaned Data'!OQ:OQ,"plus_trois_ans")</f>
        <v>0</v>
      </c>
      <c r="G29" s="3">
        <f>COUNTIF('KEMBE_Cleaned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COUNTIF('KEMBE_Cleaned Data'!PX:PX,"oui")</f>
        <v>1</v>
      </c>
      <c r="C34" s="3">
        <f>COUNTIF('KEMBE_Cleaned Data'!PX:PX,"non")</f>
        <v>1</v>
      </c>
      <c r="D34" s="111">
        <f>SUM(B34:C34)</f>
        <v>2</v>
      </c>
    </row>
    <row r="35" spans="1:10" s="36" customFormat="1" ht="37" x14ac:dyDescent="0.3">
      <c r="A35" s="54" t="s">
        <v>3290</v>
      </c>
      <c r="B35" s="94">
        <f>(B34/$E$9)</f>
        <v>0.5</v>
      </c>
      <c r="C35" s="94">
        <f>(C34/$E$9)</f>
        <v>0.5</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COUNTIF('KEMBE_Cleaned Data'!PY:PY,"severes")</f>
        <v>1</v>
      </c>
      <c r="D39" s="77">
        <f>COUNTIF('KEMBE_Cleaned Data'!PY:PY,"moderes")</f>
        <v>0</v>
      </c>
      <c r="E39" s="77">
        <f>COUNTIF('KEMBE_Cleaned Data'!PY:PY,"faibles")</f>
        <v>0</v>
      </c>
      <c r="F39" s="111">
        <f>SUM(C39:E39)</f>
        <v>1</v>
      </c>
      <c r="G39" s="74"/>
    </row>
    <row r="40" spans="1:10" ht="47" customHeight="1" x14ac:dyDescent="0.3">
      <c r="B40" s="53" t="s">
        <v>3294</v>
      </c>
      <c r="C40" s="7">
        <f>C39/$B$34</f>
        <v>1</v>
      </c>
      <c r="D40" s="7">
        <f t="shared" ref="D40:E40" si="3">D39/$C$4</f>
        <v>0</v>
      </c>
      <c r="E40" s="7">
        <f t="shared" si="3"/>
        <v>0</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COUNTIF('KEMBE_Cleaned Data'!SO:SO,"1")</f>
        <v>1</v>
      </c>
      <c r="C44" s="38">
        <f>COUNTIF('KEMBE_Cleaned Data'!SP:SP,"1")</f>
        <v>0</v>
      </c>
      <c r="D44" s="38">
        <f>COUNTIF('KEMBE_Cleaned Data'!SQ:SQ,"1")</f>
        <v>1</v>
      </c>
      <c r="E44" s="38">
        <f>COUNTIF('KEMBE_Cleaned Data'!SR:SR,"1")</f>
        <v>0</v>
      </c>
      <c r="F44" s="38">
        <f>COUNTIF('KEMBE_Cleaned Data'!SS:SS,"1")</f>
        <v>0</v>
      </c>
      <c r="G44" s="38">
        <f>COUNTIF('KEMBE_Cleaned Data'!ST:ST,"1")</f>
        <v>0</v>
      </c>
      <c r="H44" s="38">
        <f>COUNTIF('KEMBE_Cleaned Data'!SZ:SZ,"1")</f>
        <v>0</v>
      </c>
      <c r="I44" s="38">
        <f>COUNTIF('KEMBE_Cleaned Data'!SV:SV,"1")</f>
        <v>0</v>
      </c>
      <c r="J44" s="38">
        <f>COUNTIF('KEMBE_Cleaned Data'!SW:SW,"1")</f>
        <v>0</v>
      </c>
    </row>
    <row r="45" spans="1:10" x14ac:dyDescent="0.3">
      <c r="A45" s="3" t="s">
        <v>1221</v>
      </c>
      <c r="B45" s="7">
        <f>B44/$B$9</f>
        <v>0.5</v>
      </c>
      <c r="C45" s="7">
        <f t="shared" ref="C45:J45" si="4">C44/$B$9</f>
        <v>0</v>
      </c>
      <c r="D45" s="7">
        <f t="shared" si="4"/>
        <v>0.5</v>
      </c>
      <c r="E45" s="7">
        <f t="shared" si="4"/>
        <v>0</v>
      </c>
      <c r="F45" s="7">
        <f t="shared" si="4"/>
        <v>0</v>
      </c>
      <c r="G45" s="7">
        <f t="shared" si="4"/>
        <v>0</v>
      </c>
      <c r="H45" s="7">
        <f t="shared" si="4"/>
        <v>0</v>
      </c>
      <c r="I45" s="7">
        <f t="shared" si="4"/>
        <v>0</v>
      </c>
      <c r="J45" s="7">
        <f t="shared" si="4"/>
        <v>0</v>
      </c>
    </row>
    <row r="46" spans="1:10" x14ac:dyDescent="0.3">
      <c r="A46" s="14"/>
      <c r="B46" s="15"/>
      <c r="C46" s="15"/>
      <c r="D46" s="15"/>
      <c r="J46" s="74"/>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COUNTIF('KEMBE_Cleaned Data'!PL:PL,"oui")</f>
        <v>2</v>
      </c>
      <c r="C49" s="3">
        <f>COUNTIF('KEMBE_Cleaned Data'!PL:PL,"non_non_fonctionnelles")</f>
        <v>0</v>
      </c>
      <c r="D49" s="3">
        <f>COUNTIF('KEMBE_Cleaned Data'!PL:PL,"non_aucun")</f>
        <v>0</v>
      </c>
      <c r="E49" s="111">
        <f>SUM(B49:D49)</f>
        <v>2</v>
      </c>
    </row>
    <row r="50" spans="1:6" s="36" customFormat="1" ht="37" x14ac:dyDescent="0.3">
      <c r="A50" s="54" t="s">
        <v>3290</v>
      </c>
      <c r="B50" s="94">
        <f>(B49/$E$9)</f>
        <v>1</v>
      </c>
      <c r="C50" s="94">
        <f t="shared" ref="C50:D50" si="5">(C49/$E$9)</f>
        <v>0</v>
      </c>
      <c r="D50" s="94">
        <f t="shared" si="5"/>
        <v>0</v>
      </c>
      <c r="E50" s="116">
        <f>SUM(B50:D50)</f>
        <v>1</v>
      </c>
    </row>
    <row r="52" spans="1:6" x14ac:dyDescent="0.3">
      <c r="B52" s="18" t="s">
        <v>1287</v>
      </c>
    </row>
    <row r="53" spans="1:6" x14ac:dyDescent="0.3">
      <c r="B53" s="21">
        <f>AVERAGE('KEMBE_Cleaned Data'!PM:PM)</f>
        <v>3</v>
      </c>
    </row>
    <row r="54" spans="1:6" x14ac:dyDescent="0.3">
      <c r="B54" s="21"/>
      <c r="F54" s="74"/>
    </row>
    <row r="55" spans="1:6" x14ac:dyDescent="0.3">
      <c r="B55" s="18" t="s">
        <v>1414</v>
      </c>
    </row>
    <row r="56" spans="1:6" x14ac:dyDescent="0.3">
      <c r="B56" s="3"/>
      <c r="C56" s="11" t="s">
        <v>1210</v>
      </c>
      <c r="D56" s="11" t="s">
        <v>1209</v>
      </c>
      <c r="E56" s="110" t="s">
        <v>1206</v>
      </c>
    </row>
    <row r="57" spans="1:6" x14ac:dyDescent="0.3">
      <c r="B57" s="3" t="s">
        <v>1207</v>
      </c>
      <c r="C57" s="3">
        <f>COUNTIF('KEMBE_Cleaned Data'!PN:PN,"oui")</f>
        <v>0</v>
      </c>
      <c r="D57" s="3">
        <f>COUNTIF('KEMBE_Cleaned Data'!PN:PN,"non")</f>
        <v>2</v>
      </c>
      <c r="E57" s="111">
        <f>SUM(C57:D57)</f>
        <v>2</v>
      </c>
    </row>
    <row r="58" spans="1:6" ht="37.5" x14ac:dyDescent="0.3">
      <c r="B58" s="53" t="s">
        <v>3296</v>
      </c>
      <c r="C58" s="7">
        <f>(C57/$B$49)</f>
        <v>0</v>
      </c>
      <c r="D58" s="7">
        <f>(D57/$B$49)</f>
        <v>1</v>
      </c>
      <c r="E58" s="116">
        <f>SUM(C58:D58)</f>
        <v>1</v>
      </c>
    </row>
    <row r="60" spans="1:6" x14ac:dyDescent="0.3">
      <c r="C60" s="18" t="s">
        <v>1416</v>
      </c>
      <c r="D60" s="18"/>
      <c r="E60" s="21" t="e">
        <f>AVERAGE('KEMBE_Cleaned Data'!PO:PO)</f>
        <v>#DIV/0!</v>
      </c>
      <c r="F60" s="74"/>
    </row>
    <row r="61" spans="1:6" x14ac:dyDescent="0.3">
      <c r="C61" s="18"/>
      <c r="D61" s="18"/>
      <c r="F61" s="74" t="s">
        <v>3332</v>
      </c>
    </row>
    <row r="62" spans="1:6" x14ac:dyDescent="0.3">
      <c r="C62" s="18" t="s">
        <v>1415</v>
      </c>
      <c r="D62" s="18"/>
      <c r="E62" s="21" t="e">
        <f>AVERAGE('KEMBE_Cleaned Data'!PP:PP)</f>
        <v>#DIV/0!</v>
      </c>
      <c r="F62" s="74"/>
    </row>
    <row r="64" spans="1:6" x14ac:dyDescent="0.3">
      <c r="B64" s="18" t="s">
        <v>1417</v>
      </c>
    </row>
    <row r="65" spans="1:8" x14ac:dyDescent="0.3">
      <c r="B65" s="3"/>
      <c r="C65" s="11" t="s">
        <v>1210</v>
      </c>
      <c r="D65" s="11" t="s">
        <v>1209</v>
      </c>
      <c r="E65" s="110" t="s">
        <v>1206</v>
      </c>
    </row>
    <row r="66" spans="1:8" x14ac:dyDescent="0.3">
      <c r="B66" s="3" t="s">
        <v>1207</v>
      </c>
      <c r="C66" s="3">
        <f>COUNTIF('KEMBE_Cleaned Data'!PQ:PQ,"oui")</f>
        <v>1</v>
      </c>
      <c r="D66" s="3">
        <f>COUNTIF('KEMBE_Cleaned Data'!PQ:PQ,"non")</f>
        <v>1</v>
      </c>
      <c r="E66" s="111">
        <f>SUM(C66:D66)</f>
        <v>2</v>
      </c>
    </row>
    <row r="67" spans="1:8" ht="37.5" x14ac:dyDescent="0.3">
      <c r="B67" s="53" t="s">
        <v>3296</v>
      </c>
      <c r="C67" s="7">
        <f>(C66/$B$49)</f>
        <v>0.5</v>
      </c>
      <c r="D67" s="7">
        <f>(D66/$B$49)</f>
        <v>0.5</v>
      </c>
      <c r="E67" s="116">
        <f>SUM(C67:D67)</f>
        <v>1</v>
      </c>
    </row>
    <row r="69" spans="1:8" ht="15.5" x14ac:dyDescent="0.35">
      <c r="A69" s="29" t="s">
        <v>1418</v>
      </c>
    </row>
    <row r="70" spans="1:8" x14ac:dyDescent="0.3">
      <c r="A70" s="3"/>
      <c r="B70" s="8" t="s">
        <v>1210</v>
      </c>
      <c r="C70" s="8" t="s">
        <v>1209</v>
      </c>
      <c r="D70" s="110" t="s">
        <v>1206</v>
      </c>
    </row>
    <row r="71" spans="1:8" x14ac:dyDescent="0.3">
      <c r="A71" s="3" t="s">
        <v>1207</v>
      </c>
      <c r="B71" s="3">
        <f>COUNTIF('KEMBE_Cleaned Data'!PR:PR,"oui")</f>
        <v>1</v>
      </c>
      <c r="C71" s="3">
        <f>COUNTIF('KEMBE_Cleaned Data'!PR:PR,"non")</f>
        <v>1</v>
      </c>
      <c r="D71" s="111">
        <f>SUM(B71:C71)</f>
        <v>2</v>
      </c>
    </row>
    <row r="72" spans="1:8" s="36" customFormat="1" ht="37" x14ac:dyDescent="0.3">
      <c r="A72" s="54" t="s">
        <v>3290</v>
      </c>
      <c r="B72" s="94">
        <f>(B71/$E$9)</f>
        <v>0.5</v>
      </c>
      <c r="C72" s="94">
        <f>(C71/$E$9)</f>
        <v>0.5</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COUNTIF('KEMBE_Cleaned Data'!PS:PS,"acces_direct")</f>
        <v>0</v>
      </c>
      <c r="D76" s="3">
        <f>COUNTIF('KEMBE_Cleaned Data'!PS:PS,"acces_communautaire")</f>
        <v>1</v>
      </c>
      <c r="E76" s="3">
        <f>COUNTIF('KEMBE_Cleaned Data'!PS:PS,"camion")</f>
        <v>0</v>
      </c>
      <c r="F76" s="3">
        <f>COUNTIF('KEMBE_Cleaned Data'!PS:PS,"nsp")</f>
        <v>0</v>
      </c>
      <c r="G76" s="3">
        <f>COUNTIF('KEMBE_Cleaned Data'!PS:PS,"autre")</f>
        <v>0</v>
      </c>
      <c r="H76" s="111">
        <f>SUM(C76:G76)</f>
        <v>1</v>
      </c>
    </row>
    <row r="77" spans="1:8" ht="48.5" x14ac:dyDescent="0.3">
      <c r="B77" s="54" t="s">
        <v>3297</v>
      </c>
      <c r="C77" s="94">
        <f>C76/$B$71</f>
        <v>0</v>
      </c>
      <c r="D77" s="94">
        <f t="shared" ref="D77:G77" si="6">D76/$B$71</f>
        <v>1</v>
      </c>
      <c r="E77" s="94">
        <f t="shared" si="6"/>
        <v>0</v>
      </c>
      <c r="F77" s="94">
        <f t="shared" si="6"/>
        <v>0</v>
      </c>
      <c r="G77" s="94">
        <f t="shared" si="6"/>
        <v>0</v>
      </c>
      <c r="H77" s="116">
        <f>SUM(C77:G77)</f>
        <v>1</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COUNTIF('KEMBE_Cleaned Data'!PU:PU,"oui")</f>
        <v>0</v>
      </c>
      <c r="C81" s="3">
        <f>COUNTIF('KEMBE_Cleaned Data'!PU:PU,"non")</f>
        <v>2</v>
      </c>
      <c r="D81" s="111">
        <f>SUM(B81:C81)</f>
        <v>2</v>
      </c>
    </row>
    <row r="82" spans="1:14" s="36" customFormat="1" ht="37" x14ac:dyDescent="0.3">
      <c r="A82" s="54" t="s">
        <v>3290</v>
      </c>
      <c r="B82" s="94">
        <f>(B81/$E$9)</f>
        <v>0</v>
      </c>
      <c r="C82" s="94">
        <f>(C81/$E$9)</f>
        <v>1</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COUNTIF('KEMBE_Cleaned Data'!PV:PV,"oui")</f>
        <v>0</v>
      </c>
      <c r="D86" s="3">
        <f>COUNTIF('KEMBE_Cleaned Data'!PV:PV,"non_panne")</f>
        <v>0</v>
      </c>
      <c r="E86" s="3">
        <f>COUNTIF('KEMBE_Cleaned Data'!PV:PV,"non_essence")</f>
        <v>0</v>
      </c>
      <c r="F86" s="3">
        <f>COUNTIF('KEMBE_Cleaned Data'!PV:PV,"non_equipement")</f>
        <v>0</v>
      </c>
      <c r="G86" s="111">
        <f>SUM(C86:F86)</f>
        <v>0</v>
      </c>
    </row>
    <row r="87" spans="1:14" ht="37" x14ac:dyDescent="0.3">
      <c r="B87" s="54" t="s">
        <v>3298</v>
      </c>
      <c r="C87" s="94" t="e">
        <f>(C86/$B$81)</f>
        <v>#DIV/0!</v>
      </c>
      <c r="D87" s="94" t="e">
        <f t="shared" ref="D87:F87" si="7">(D86/$B$81)</f>
        <v>#DIV/0!</v>
      </c>
      <c r="E87" s="94" t="e">
        <f t="shared" si="7"/>
        <v>#DIV/0!</v>
      </c>
      <c r="F87" s="94" t="e">
        <f t="shared" si="7"/>
        <v>#DIV/0!</v>
      </c>
      <c r="G87" s="100" t="e">
        <f>SUM(C87:F87)</f>
        <v>#DIV/0!</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COUNTIF('KEMBE_Cleaned Data'!QA:QA,"1")</f>
        <v>2</v>
      </c>
      <c r="C92" s="3">
        <f>COUNTIF('KEMBE_Cleaned Data'!QN:QN,"1")</f>
        <v>1</v>
      </c>
      <c r="D92" s="3">
        <f>COUNTIF('KEMBE_Cleaned Data'!QB:QB,"1")</f>
        <v>2</v>
      </c>
      <c r="E92" s="3">
        <f>COUNTIF('KEMBE_Cleaned Data'!QC:QC,"1")</f>
        <v>2</v>
      </c>
      <c r="F92" s="3">
        <f>COUNTIF('KEMBE_Cleaned Data'!QD:QD,"1")</f>
        <v>0</v>
      </c>
      <c r="G92" s="3">
        <f>COUNTIF('KEMBE_Cleaned Data'!QE:QE,"1")</f>
        <v>0</v>
      </c>
      <c r="H92" s="3">
        <f>COUNTIF('KEMBE_Cleaned Data'!QF:QF,"1")</f>
        <v>2</v>
      </c>
      <c r="I92" s="3">
        <f>COUNTIF('KEMBE_Cleaned Data'!QG:QG,"1")</f>
        <v>2</v>
      </c>
      <c r="J92" s="3">
        <f>COUNTIF('KEMBE_Cleaned Data'!QH:QH,"1")</f>
        <v>0</v>
      </c>
      <c r="K92" s="3">
        <f>COUNTIF('KEMBE_Cleaned Data'!QJ:QJ,"1")</f>
        <v>2</v>
      </c>
      <c r="L92" s="3">
        <f>COUNTIF('KEMBE_Cleaned Data'!QK:QK,"1")</f>
        <v>2</v>
      </c>
      <c r="M92" s="3">
        <f>COUNTIF('KEMBE_Cleaned Data'!QL:QL,"1")</f>
        <v>0</v>
      </c>
      <c r="N92" s="3">
        <f>COUNTIF('KEMBE_Cleaned Data'!QM:QM,"1")</f>
        <v>0</v>
      </c>
    </row>
    <row r="93" spans="1:14" s="36" customFormat="1" ht="37" x14ac:dyDescent="0.35">
      <c r="A93" s="54" t="s">
        <v>3301</v>
      </c>
      <c r="B93" s="55">
        <f t="shared" ref="B93:N93" si="8">(B92/$E$9)</f>
        <v>1</v>
      </c>
      <c r="C93" s="55">
        <f t="shared" si="8"/>
        <v>0.5</v>
      </c>
      <c r="D93" s="55">
        <f t="shared" si="8"/>
        <v>1</v>
      </c>
      <c r="E93" s="55">
        <f t="shared" si="8"/>
        <v>1</v>
      </c>
      <c r="F93" s="55">
        <f t="shared" si="8"/>
        <v>0</v>
      </c>
      <c r="G93" s="55">
        <f t="shared" si="8"/>
        <v>0</v>
      </c>
      <c r="H93" s="55">
        <f t="shared" si="8"/>
        <v>1</v>
      </c>
      <c r="I93" s="55">
        <f t="shared" si="8"/>
        <v>1</v>
      </c>
      <c r="J93" s="55">
        <f t="shared" si="8"/>
        <v>0</v>
      </c>
      <c r="K93" s="55">
        <f t="shared" si="8"/>
        <v>1</v>
      </c>
      <c r="L93" s="55">
        <f t="shared" si="8"/>
        <v>1</v>
      </c>
      <c r="M93" s="55">
        <f t="shared" si="8"/>
        <v>0</v>
      </c>
      <c r="N93" s="55">
        <f t="shared" si="8"/>
        <v>0</v>
      </c>
    </row>
    <row r="94" spans="1:14" x14ac:dyDescent="0.3">
      <c r="A94" s="14"/>
      <c r="B94" s="14"/>
      <c r="C94" s="14"/>
      <c r="D94" s="14"/>
      <c r="E94" s="14"/>
      <c r="F94" s="14"/>
      <c r="G94" s="14"/>
      <c r="H94" s="14"/>
      <c r="I94" s="14"/>
      <c r="J94" s="14"/>
      <c r="K94" s="14"/>
      <c r="L94" s="14"/>
      <c r="M94" s="14"/>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COUNTIF('KEMBE_Cleaned Data'!TB:TB,"oui")</f>
        <v>0</v>
      </c>
      <c r="C97" s="3">
        <f>COUNTIF('KEMBE_Cleaned Data'!TB:TB,"oui_exception")</f>
        <v>0</v>
      </c>
      <c r="D97" s="3">
        <f>COUNTIF('KEMBE_Cleaned Data'!TB:TB,"non")</f>
        <v>2</v>
      </c>
      <c r="E97" s="111">
        <f>SUM(B97:D97)</f>
        <v>2</v>
      </c>
      <c r="F97" s="14"/>
      <c r="G97" s="14"/>
      <c r="H97" s="14"/>
      <c r="I97" s="14"/>
      <c r="J97" s="14"/>
      <c r="K97" s="14"/>
      <c r="L97" s="14"/>
      <c r="M97" s="14"/>
    </row>
    <row r="98" spans="1:13" s="36" customFormat="1" ht="37" x14ac:dyDescent="0.3">
      <c r="A98" s="54" t="s">
        <v>3301</v>
      </c>
      <c r="B98" s="120">
        <f>(B97/$E$9)</f>
        <v>0</v>
      </c>
      <c r="C98" s="120">
        <f t="shared" ref="C98:D98" si="9">(C97/$E$9)</f>
        <v>0</v>
      </c>
      <c r="D98" s="120">
        <f t="shared" si="9"/>
        <v>1</v>
      </c>
      <c r="E98" s="100">
        <f>SUM(B98:D98)</f>
        <v>1</v>
      </c>
      <c r="F98" s="47"/>
      <c r="G98" s="47"/>
      <c r="H98" s="47"/>
      <c r="I98" s="47"/>
      <c r="J98" s="47"/>
      <c r="K98" s="47"/>
      <c r="L98" s="47"/>
      <c r="M98" s="47"/>
    </row>
    <row r="99" spans="1:13" x14ac:dyDescent="0.3">
      <c r="A99" s="14"/>
      <c r="B99" s="15"/>
      <c r="C99" s="87"/>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COUNTIF('KEMBE_Cleaned Data'!TJ:TJ,"oui")</f>
        <v>0</v>
      </c>
      <c r="D103" s="3">
        <f>COUNTIF('KEMBE_Cleaned Data'!TJ:TJ,"non")</f>
        <v>0</v>
      </c>
      <c r="E103" s="111">
        <f>SUM(C103:D103)</f>
        <v>0</v>
      </c>
      <c r="F103" s="76" t="s">
        <v>3300</v>
      </c>
      <c r="G103" s="14"/>
      <c r="H103" s="14"/>
      <c r="I103" s="14"/>
      <c r="J103" s="14"/>
      <c r="K103" s="14"/>
      <c r="L103" s="14"/>
      <c r="M103" s="14"/>
    </row>
    <row r="104" spans="1:13" ht="40.5" customHeight="1" x14ac:dyDescent="0.3">
      <c r="A104" s="14"/>
      <c r="B104" s="121" t="s">
        <v>3302</v>
      </c>
      <c r="C104" s="39" t="e">
        <f>(C103/($B$97+$C$97))</f>
        <v>#DIV/0!</v>
      </c>
      <c r="D104" s="39" t="e">
        <f>(D103/($B$97+$C$97))</f>
        <v>#DIV/0!</v>
      </c>
      <c r="E104" s="100" t="e">
        <f>SUM(C104:D104)</f>
        <v>#DIV/0!</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8">
        <f>COUNTIF('KEMBE_Cleaned Data'!TK:TK,"bcp_diminue")</f>
        <v>0</v>
      </c>
      <c r="E108" s="38">
        <f>COUNTIF('KEMBE_Cleaned Data'!TK:TK,"peu_diminue")</f>
        <v>0</v>
      </c>
      <c r="F108" s="38">
        <f>COUNTIF('KEMBE_Cleaned Data'!TK:TK,"bcp_augmente")</f>
        <v>0</v>
      </c>
      <c r="G108" s="38">
        <f>COUNTIF('KEMBE_Cleaned Data'!TK:TK,"peu_augmente")</f>
        <v>0</v>
      </c>
      <c r="J108" s="14"/>
      <c r="K108" s="76"/>
      <c r="L108" s="14"/>
      <c r="M108" s="14"/>
    </row>
    <row r="109" spans="1:13" ht="60.5" x14ac:dyDescent="0.3">
      <c r="A109" s="14"/>
      <c r="B109" s="15"/>
      <c r="C109" s="121" t="s">
        <v>3302</v>
      </c>
      <c r="D109" s="39" t="e">
        <f>(D108/$C$103)</f>
        <v>#DIV/0!</v>
      </c>
      <c r="E109" s="39" t="e">
        <f>(E108/$C$103)</f>
        <v>#DIV/0!</v>
      </c>
      <c r="F109" s="39" t="e">
        <f>(F108/$C$103)</f>
        <v>#DIV/0!</v>
      </c>
      <c r="G109" s="39" t="e">
        <f>(G108/$C$103)</f>
        <v>#DIV/0!</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COUNTIF('KEMBE_Cleaned Data'!TW:TW,"1")</f>
        <v>0</v>
      </c>
      <c r="E113" s="24">
        <f>COUNTIF('KEMBE_Cleaned Data'!TX:TX,"1")</f>
        <v>0</v>
      </c>
      <c r="F113" s="24">
        <f>COUNTIF('KEMBE_Cleaned Data'!TY:TY,"1")</f>
        <v>0</v>
      </c>
      <c r="G113" s="24">
        <f>COUNTIF('KEMBE_Cleaned Data'!TZ:TZ,"1")</f>
        <v>0</v>
      </c>
      <c r="H113" s="24">
        <f>COUNTIF('KEMBE_Cleaned Data'!UA:UA,"1")</f>
        <v>0</v>
      </c>
      <c r="I113" s="24">
        <f>COUNTIF('KEMBE_Cleaned Data'!UB:UB,"1")</f>
        <v>0</v>
      </c>
      <c r="J113" s="24">
        <f>COUNTIF('KEMBE_Cleaned Data'!UC:UC,"1")</f>
        <v>0</v>
      </c>
      <c r="K113" s="24">
        <f>COUNTIF('KEMBE_Cleaned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COUNTIF('KEMBE_Cleaned Data'!TM:TM,"1")</f>
        <v>0</v>
      </c>
      <c r="E118" s="24">
        <f>COUNTIF('KEMBE_Cleaned Data'!TN:TN,"1")</f>
        <v>0</v>
      </c>
      <c r="F118" s="24">
        <f>COUNTIF('KEMBE_Cleaned Data'!TO:TO,"1")</f>
        <v>0</v>
      </c>
      <c r="G118" s="24">
        <f>COUNTIF('KEMBE_Cleaned Data'!TP:TP,"1")</f>
        <v>0</v>
      </c>
      <c r="H118" s="24">
        <f>COUNTIF('KEMBE_Cleaned Data'!TQ:TQ,"1")</f>
        <v>0</v>
      </c>
      <c r="I118" s="24">
        <f>COUNTIF('KEMBE_Cleaned Data'!TR:TR,"1")</f>
        <v>0</v>
      </c>
      <c r="J118" s="24">
        <f>COUNTIF('KEMBE_Cleaned Data'!TS:TS,"1")</f>
        <v>0</v>
      </c>
      <c r="K118" s="24">
        <f>COUNTIF('KEMBE_Cleaned Data'!TT:TT,"1")</f>
        <v>0</v>
      </c>
      <c r="L118" s="14"/>
      <c r="M118" s="14"/>
    </row>
    <row r="119" spans="1:13" ht="60.5" x14ac:dyDescent="0.3">
      <c r="A119" s="14"/>
      <c r="B119" s="15"/>
      <c r="C119" s="121" t="s">
        <v>3304</v>
      </c>
      <c r="D119" s="39" t="e">
        <f>D118/(F108+G108)</f>
        <v>#DIV/0!</v>
      </c>
      <c r="E119" s="39" t="e">
        <f>E118/(F108+G108)</f>
        <v>#DIV/0!</v>
      </c>
      <c r="F119" s="39" t="e">
        <f>F118/(F108+G108)</f>
        <v>#DIV/0!</v>
      </c>
      <c r="G119" s="39" t="e">
        <f>G118/(F108+G108)</f>
        <v>#DIV/0!</v>
      </c>
      <c r="H119" s="39" t="e">
        <f>H118/(F108+G108)</f>
        <v>#DIV/0!</v>
      </c>
      <c r="I119" s="39" t="e">
        <f>I118/(F108+G108)</f>
        <v>#DIV/0!</v>
      </c>
      <c r="J119" s="39" t="e">
        <f>J118/(F108+G108)</f>
        <v>#DIV/0!</v>
      </c>
      <c r="K119" s="39" t="e">
        <f>K118/(F108+G108)</f>
        <v>#DIV/0!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COUNTIF('KEMBE_Cleaned Data'!QR:QR,"1")</f>
        <v>1</v>
      </c>
      <c r="C123" s="3">
        <f>COUNTIF('KEMBE_Cleaned Data'!QS:QS,"1")</f>
        <v>2</v>
      </c>
      <c r="D123" s="3">
        <f>COUNTIF('KEMBE_Cleaned Data'!QV:QV,"1")</f>
        <v>2</v>
      </c>
      <c r="E123" s="3">
        <f>COUNTIF('KEMBE_Cleaned Data'!QW:QW,"1")</f>
        <v>2</v>
      </c>
      <c r="F123" s="3">
        <f>COUNTIF('KEMBE_Cleaned Data'!QT:QT,"1")</f>
        <v>0</v>
      </c>
      <c r="G123" s="3">
        <f>COUNTIF('KEMBE_Cleaned Data'!QU:QU,"1")</f>
        <v>2</v>
      </c>
    </row>
    <row r="124" spans="1:13" s="36" customFormat="1" ht="37" x14ac:dyDescent="0.3">
      <c r="A124" s="54" t="s">
        <v>3301</v>
      </c>
      <c r="B124" s="94">
        <f>B123/$E$9</f>
        <v>0.5</v>
      </c>
      <c r="C124" s="94">
        <f t="shared" ref="C124:G124" si="10">C123/$E$9</f>
        <v>1</v>
      </c>
      <c r="D124" s="94">
        <f t="shared" si="10"/>
        <v>1</v>
      </c>
      <c r="E124" s="94">
        <f t="shared" si="10"/>
        <v>1</v>
      </c>
      <c r="F124" s="94">
        <f t="shared" si="10"/>
        <v>0</v>
      </c>
      <c r="G124" s="94">
        <f t="shared" si="10"/>
        <v>1</v>
      </c>
    </row>
    <row r="125" spans="1:13" x14ac:dyDescent="0.3">
      <c r="G125" s="74" t="s">
        <v>2060</v>
      </c>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COUNTIF('KEMBE_Cleaned Data'!QY:QY,"oui")</f>
        <v>0</v>
      </c>
      <c r="C129" s="3">
        <f>COUNTIF('KEMBE_Cleaned Data'!QY:QY,"non")</f>
        <v>2</v>
      </c>
      <c r="D129" s="111">
        <f>SUM(B129:C129)</f>
        <v>2</v>
      </c>
    </row>
    <row r="130" spans="1:6" s="36" customFormat="1" ht="37" x14ac:dyDescent="0.3">
      <c r="A130" s="54" t="s">
        <v>3301</v>
      </c>
      <c r="B130" s="94">
        <f>(B129/$E$9)</f>
        <v>0</v>
      </c>
      <c r="C130" s="94">
        <f>(C129/$E$9)</f>
        <v>1</v>
      </c>
      <c r="D130" s="100">
        <f>SUM(B130:C130)</f>
        <v>1</v>
      </c>
    </row>
    <row r="132" spans="1:6" x14ac:dyDescent="0.3">
      <c r="B132" s="18" t="s">
        <v>1435</v>
      </c>
      <c r="D132" s="103" t="s">
        <v>3245</v>
      </c>
      <c r="E132" s="21"/>
    </row>
    <row r="133" spans="1:6" ht="28" x14ac:dyDescent="0.3">
      <c r="B133" s="6" t="s">
        <v>1436</v>
      </c>
      <c r="C133" s="6" t="s">
        <v>1437</v>
      </c>
      <c r="D133" s="6" t="s">
        <v>1438</v>
      </c>
      <c r="E133" s="6" t="s">
        <v>3259</v>
      </c>
      <c r="F133" s="6" t="s">
        <v>1205</v>
      </c>
    </row>
    <row r="134" spans="1:6" x14ac:dyDescent="0.3">
      <c r="B134" s="3">
        <f>COUNTIF('KEMBE_Cleaned Data'!RA:RA,"1")</f>
        <v>0</v>
      </c>
      <c r="C134" s="3">
        <f>COUNTIF('KEMBE_Cleaned Data'!RB:RB,"1")</f>
        <v>0</v>
      </c>
      <c r="D134" s="3">
        <f>COUNTIF('KEMBE_Cleaned Data'!RC:RC,"1")</f>
        <v>0</v>
      </c>
      <c r="E134" s="3">
        <f>COUNTIF('KEMBE_Cleaned Data'!RD:RD,"1")</f>
        <v>0</v>
      </c>
      <c r="F134" s="3">
        <f>COUNTIF('KEMBE_Cleaned Data'!RE:RE,"1")</f>
        <v>0</v>
      </c>
    </row>
    <row r="137" spans="1:6" x14ac:dyDescent="0.3">
      <c r="A137" s="21" t="s">
        <v>1302</v>
      </c>
    </row>
    <row r="138" spans="1:6" ht="33.5" customHeight="1" x14ac:dyDescent="0.3">
      <c r="A138" s="154" t="s">
        <v>1439</v>
      </c>
      <c r="B138" s="154"/>
      <c r="C138" s="154"/>
      <c r="D138" s="154"/>
      <c r="E138" s="44">
        <f>AVERAGE('KEMBE_Cleaned Data'!RG:RG)</f>
        <v>35</v>
      </c>
    </row>
    <row r="140" spans="1:6" ht="15.5" x14ac:dyDescent="0.35">
      <c r="A140" s="29" t="s">
        <v>1440</v>
      </c>
    </row>
    <row r="141" spans="1:6" x14ac:dyDescent="0.3">
      <c r="A141" s="3"/>
      <c r="B141" s="8" t="s">
        <v>1210</v>
      </c>
      <c r="C141" s="8" t="s">
        <v>1209</v>
      </c>
      <c r="D141" s="110" t="s">
        <v>1206</v>
      </c>
    </row>
    <row r="142" spans="1:6" x14ac:dyDescent="0.3">
      <c r="A142" s="3" t="s">
        <v>1207</v>
      </c>
      <c r="B142" s="3">
        <f>COUNTIF('KEMBE_Cleaned Data'!RH:RH,"oui")</f>
        <v>2</v>
      </c>
      <c r="C142" s="3">
        <f>COUNTIF('KEMBE_Cleaned Data'!RH:RH,"non")</f>
        <v>0</v>
      </c>
      <c r="D142" s="111">
        <f>SUM(B142:C142)</f>
        <v>2</v>
      </c>
    </row>
    <row r="143" spans="1:6" s="36" customFormat="1" ht="37" x14ac:dyDescent="0.3">
      <c r="A143" s="54" t="s">
        <v>3301</v>
      </c>
      <c r="B143" s="94">
        <f>(B142/$E$9)</f>
        <v>1</v>
      </c>
      <c r="C143" s="94">
        <f>(C142/$E$9)</f>
        <v>0</v>
      </c>
      <c r="D143" s="100">
        <f>SUM(B143:C143)</f>
        <v>1</v>
      </c>
    </row>
    <row r="145" spans="1:16" x14ac:dyDescent="0.3">
      <c r="B145" s="18" t="s">
        <v>1441</v>
      </c>
    </row>
    <row r="146" spans="1:16" ht="28" x14ac:dyDescent="0.3">
      <c r="B146" s="3"/>
      <c r="C146" s="12" t="s">
        <v>1226</v>
      </c>
      <c r="D146" s="12" t="s">
        <v>1405</v>
      </c>
      <c r="E146" s="12" t="s">
        <v>1225</v>
      </c>
      <c r="F146" s="12" t="s">
        <v>1404</v>
      </c>
      <c r="G146" s="110" t="s">
        <v>1206</v>
      </c>
    </row>
    <row r="147" spans="1:16" x14ac:dyDescent="0.3">
      <c r="B147" s="3" t="s">
        <v>1207</v>
      </c>
      <c r="C147" s="3">
        <f>COUNTIF('KEMBE_Cleaned Data'!RI:RI,"bcp_diminue")</f>
        <v>0</v>
      </c>
      <c r="D147" s="3">
        <f>COUNTIF('KEMBE_Cleaned Data'!RI:RI,"peu_diminue")</f>
        <v>0</v>
      </c>
      <c r="E147" s="3">
        <f>COUNTIF('KEMBE_Cleaned Data'!RI:RI,"bcp_augmente")</f>
        <v>1</v>
      </c>
      <c r="F147" s="3">
        <f>COUNTIF('KEMBE_Cleaned Data'!RI:RI,"peu_augmente")</f>
        <v>1</v>
      </c>
      <c r="G147" s="111">
        <f>SUM(C147:F147)</f>
        <v>2</v>
      </c>
    </row>
    <row r="148" spans="1:16" ht="49" x14ac:dyDescent="0.3">
      <c r="B148" s="53" t="s">
        <v>3306</v>
      </c>
      <c r="C148" s="7">
        <f>(C147/$B$142)</f>
        <v>0</v>
      </c>
      <c r="D148" s="7">
        <f>(D147/$B$142)</f>
        <v>0</v>
      </c>
      <c r="E148" s="7">
        <f>(E147/$B$142)</f>
        <v>0.5</v>
      </c>
      <c r="F148" s="7">
        <f>(F147/$B$142)</f>
        <v>0.5</v>
      </c>
      <c r="G148" s="100">
        <f>SUM(C148:F148)</f>
        <v>1</v>
      </c>
    </row>
    <row r="150" spans="1:16" x14ac:dyDescent="0.3">
      <c r="C150" s="18" t="s">
        <v>1310</v>
      </c>
      <c r="E150" s="103" t="s">
        <v>3245</v>
      </c>
    </row>
    <row r="151" spans="1:16"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6" x14ac:dyDescent="0.3">
      <c r="C152" s="3" t="s">
        <v>1207</v>
      </c>
      <c r="D152" s="3">
        <f>COUNTIF('KEMBE_Cleaned Data'!RW:RW,"1")</f>
        <v>0</v>
      </c>
      <c r="E152" s="3">
        <f>COUNTIF('KEMBE_Cleaned Data'!RX:RX,"1")</f>
        <v>0</v>
      </c>
      <c r="F152" s="3">
        <f>COUNTIF('KEMBE_Cleaned Data'!RY:RY,"1")</f>
        <v>0</v>
      </c>
      <c r="G152" s="3">
        <f>COUNTIF('KEMBE_Cleaned Data'!RZ:RZ,"1")</f>
        <v>0</v>
      </c>
      <c r="H152" s="3">
        <f>COUNTIF('KEMBE_Cleaned Data'!SA:SA,"1")</f>
        <v>0</v>
      </c>
      <c r="I152" s="3">
        <f>COUNTIF('KEMBE_Cleaned Data'!SB:SB,"1")</f>
        <v>0</v>
      </c>
      <c r="J152" s="3">
        <f>COUNTIF('KEMBE_Cleaned Data'!SC:SC,"1")</f>
        <v>0</v>
      </c>
    </row>
    <row r="153" spans="1:16" ht="49" x14ac:dyDescent="0.3">
      <c r="C153" s="53" t="s">
        <v>3307</v>
      </c>
      <c r="D153" s="78" t="e">
        <f>D152/(C147+D147)</f>
        <v>#DIV/0!</v>
      </c>
      <c r="E153" s="78" t="e">
        <f>E152/(C147+D147)</f>
        <v>#DIV/0!</v>
      </c>
      <c r="F153" s="78" t="e">
        <f>F152/(C147+D147)</f>
        <v>#DIV/0!</v>
      </c>
      <c r="G153" s="78" t="e">
        <f>G152/(C147+D147)</f>
        <v>#DIV/0!</v>
      </c>
      <c r="H153" s="78" t="e">
        <f>H152/(C147+D147)</f>
        <v>#DIV/0!</v>
      </c>
      <c r="I153" s="78" t="e">
        <f>I152/(C147+D147)</f>
        <v>#DIV/0!</v>
      </c>
      <c r="J153" s="78" t="e">
        <f>J152/(C147+D147)</f>
        <v>#DIV/0!</v>
      </c>
    </row>
    <row r="154" spans="1:16" x14ac:dyDescent="0.3">
      <c r="C154" s="14"/>
      <c r="D154" s="14"/>
      <c r="E154" s="14"/>
      <c r="F154" s="14"/>
      <c r="G154" s="14"/>
      <c r="H154" s="14"/>
      <c r="I154" s="14"/>
      <c r="J154" s="14"/>
    </row>
    <row r="155" spans="1:16" x14ac:dyDescent="0.3">
      <c r="C155" s="18" t="s">
        <v>1227</v>
      </c>
      <c r="E155" s="103" t="s">
        <v>3245</v>
      </c>
    </row>
    <row r="156" spans="1:16" s="36" customFormat="1" ht="73.5" customHeight="1" x14ac:dyDescent="0.3">
      <c r="C156" s="3"/>
      <c r="D156" s="11" t="s">
        <v>1228</v>
      </c>
      <c r="E156" s="11" t="s">
        <v>2340</v>
      </c>
      <c r="F156" s="11" t="s">
        <v>1442</v>
      </c>
      <c r="G156" s="11" t="s">
        <v>1443</v>
      </c>
      <c r="H156" s="11" t="s">
        <v>1444</v>
      </c>
      <c r="I156" s="11" t="s">
        <v>1445</v>
      </c>
      <c r="J156" s="11" t="s">
        <v>1446</v>
      </c>
      <c r="K156" s="11" t="s">
        <v>1447</v>
      </c>
      <c r="L156" s="11" t="s">
        <v>1905</v>
      </c>
      <c r="M156" s="11" t="s">
        <v>1220</v>
      </c>
    </row>
    <row r="157" spans="1:16" x14ac:dyDescent="0.3">
      <c r="C157" s="3" t="s">
        <v>1207</v>
      </c>
      <c r="D157" s="3">
        <f>COUNTIF('KEMBE_Cleaned Data'!RK:RK,"1")</f>
        <v>0</v>
      </c>
      <c r="E157" s="3">
        <f>COUNTIF('KEMBE_Cleaned Data'!RL:RL,"1")</f>
        <v>0</v>
      </c>
      <c r="F157" s="3">
        <f>COUNTIF('KEMBE_Cleaned Data'!RM:RM,"1")</f>
        <v>0</v>
      </c>
      <c r="G157" s="3">
        <f>COUNTIF('KEMBE_Cleaned Data'!RN:RN,"1")</f>
        <v>0</v>
      </c>
      <c r="H157" s="3">
        <f>COUNTIF('KEMBE_Cleaned Data'!RO:RO,"1")</f>
        <v>1</v>
      </c>
      <c r="I157" s="3">
        <f>COUNTIF('KEMBE_Cleaned Data'!RP:RP,"1")</f>
        <v>0</v>
      </c>
      <c r="J157" s="3">
        <f>COUNTIF('KEMBE_Cleaned Data'!RQ:RQ,"1")</f>
        <v>0</v>
      </c>
      <c r="K157" s="3">
        <f>COUNTIF('KEMBE_Cleaned Data'!RR:RR,"1")</f>
        <v>0</v>
      </c>
      <c r="L157" s="3">
        <f>COUNTIF('KEMBE_Cleaned Data'!RS:RS,"1")</f>
        <v>0</v>
      </c>
      <c r="M157" s="3">
        <f>COUNTIF('KEMBE_Cleaned Data'!RT:RT,"1")</f>
        <v>2</v>
      </c>
    </row>
    <row r="158" spans="1:16" ht="49" x14ac:dyDescent="0.3">
      <c r="C158" s="53" t="s">
        <v>3308</v>
      </c>
      <c r="D158" s="7">
        <f>D157/(E147+F147)</f>
        <v>0</v>
      </c>
      <c r="E158" s="7">
        <f>E157/(E147+F147)</f>
        <v>0</v>
      </c>
      <c r="F158" s="7">
        <f>F157/(E147+F147)</f>
        <v>0</v>
      </c>
      <c r="G158" s="7">
        <f>G157/(E147+F147)</f>
        <v>0</v>
      </c>
      <c r="H158" s="7">
        <f>H157/(E147+F147)</f>
        <v>0.5</v>
      </c>
      <c r="I158" s="7">
        <f>I157/(E147+F147)</f>
        <v>0</v>
      </c>
      <c r="J158" s="7">
        <f>J157/(E147+F147)</f>
        <v>0</v>
      </c>
      <c r="K158" s="7">
        <f>K157/(E147+F147)</f>
        <v>0</v>
      </c>
      <c r="L158" s="7">
        <f>L157/(E147+F147)</f>
        <v>0</v>
      </c>
      <c r="M158" s="7">
        <f>M157/(E147+F147)</f>
        <v>1</v>
      </c>
    </row>
    <row r="159" spans="1:16" ht="27.5" customHeight="1" x14ac:dyDescent="0.3">
      <c r="C159" s="50"/>
      <c r="M159" s="156" t="s">
        <v>3349</v>
      </c>
      <c r="N159" s="156"/>
      <c r="O159" s="156"/>
      <c r="P159" s="156"/>
    </row>
    <row r="160" spans="1:16"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COUNTIF('KEMBE_Cleaned Data'!SE:SE,"fortement_sur:utilise")</f>
        <v>0</v>
      </c>
      <c r="C162" s="3">
        <f>COUNTIF('KEMBE_Cleaned Data'!SE:SE,"sur_utilise")</f>
        <v>1</v>
      </c>
      <c r="D162" s="3">
        <f>COUNTIF('KEMBE_Cleaned Data'!SE:SE,"ok")</f>
        <v>1</v>
      </c>
      <c r="E162" s="3">
        <f>COUNTIF('KEMBE_Cleaned Data'!SE:SE,"sous_utilise")</f>
        <v>0</v>
      </c>
      <c r="F162" s="3">
        <f>COUNTIF('KEMBE_Cleaned Data'!SE:SE,"fortement_sous_utilise")</f>
        <v>0</v>
      </c>
      <c r="G162" s="3">
        <f>COUNTIF('KEMBE_Cleaned Data'!SE:SE,"nsp")</f>
        <v>0</v>
      </c>
      <c r="H162" s="111">
        <f>SUM(B162:G162)</f>
        <v>2</v>
      </c>
    </row>
    <row r="163" spans="1:8" s="36" customFormat="1" ht="37" x14ac:dyDescent="0.3">
      <c r="A163" s="54" t="s">
        <v>3301</v>
      </c>
      <c r="B163" s="94">
        <f>B162/$E$9</f>
        <v>0</v>
      </c>
      <c r="C163" s="94">
        <f t="shared" ref="C163:G163" si="11">C162/$E$9</f>
        <v>0.5</v>
      </c>
      <c r="D163" s="94">
        <f t="shared" si="11"/>
        <v>0.5</v>
      </c>
      <c r="E163" s="94">
        <f t="shared" si="11"/>
        <v>0</v>
      </c>
      <c r="F163" s="94">
        <f t="shared" si="11"/>
        <v>0</v>
      </c>
      <c r="G163" s="94">
        <f t="shared" si="11"/>
        <v>0</v>
      </c>
      <c r="H163" s="100">
        <f>SUM(B163:G163)</f>
        <v>1</v>
      </c>
    </row>
    <row r="166" spans="1:8" ht="15.5" x14ac:dyDescent="0.3">
      <c r="A166" s="80" t="s">
        <v>1454</v>
      </c>
      <c r="E166" s="132">
        <f>AVERAGE('KEMBE_Cleaned Data'!SF:SF)</f>
        <v>21.5</v>
      </c>
    </row>
    <row r="167" spans="1:8" ht="15.5" x14ac:dyDescent="0.35">
      <c r="A167" s="79" t="s">
        <v>1455</v>
      </c>
      <c r="E167" s="21">
        <f>AVERAGE('KEMBE_Cleaned Data'!SG:SG)</f>
        <v>0.5</v>
      </c>
    </row>
    <row r="168" spans="1:8" ht="15.5" x14ac:dyDescent="0.35">
      <c r="A168" s="29" t="s">
        <v>1456</v>
      </c>
      <c r="E168" s="10">
        <f>AVERAGE('KEMBE_Cleaned Data'!SH:SH)</f>
        <v>1</v>
      </c>
    </row>
    <row r="169" spans="1:8" ht="15.5" x14ac:dyDescent="0.35">
      <c r="A169" s="29" t="s">
        <v>1457</v>
      </c>
      <c r="E169" s="10">
        <f>AVERAGE('KEMBE_Cleaned Data'!SI:SI)</f>
        <v>0</v>
      </c>
    </row>
    <row r="170" spans="1:8" ht="15.5" x14ac:dyDescent="0.35">
      <c r="A170" s="29" t="s">
        <v>1458</v>
      </c>
      <c r="E170" s="10">
        <f>AVERAGE('KEMBE_Cleaned Data'!SJ:SJ)</f>
        <v>0</v>
      </c>
    </row>
    <row r="171" spans="1:8" ht="15.5" x14ac:dyDescent="0.35">
      <c r="A171" s="29" t="s">
        <v>1459</v>
      </c>
      <c r="E171" s="10">
        <f>AVERAGE('KEMBE_Cleaned Data'!SK:SK)</f>
        <v>0</v>
      </c>
    </row>
    <row r="172" spans="1:8" ht="15.5" x14ac:dyDescent="0.35">
      <c r="A172" s="79" t="s">
        <v>1460</v>
      </c>
      <c r="B172" s="21"/>
      <c r="C172" s="21"/>
      <c r="D172" s="21"/>
      <c r="E172" s="21">
        <f>AVERAGE('KEMBE_Cleaned Data'!SL:SL)</f>
        <v>6.5</v>
      </c>
    </row>
    <row r="173" spans="1:8" ht="15.5" x14ac:dyDescent="0.35">
      <c r="A173" s="29" t="s">
        <v>1461</v>
      </c>
      <c r="E173" s="10">
        <f>AVERAGE('KEMBE_Cleaned Data'!SM:SM)</f>
        <v>3</v>
      </c>
    </row>
    <row r="174" spans="1:8" x14ac:dyDescent="0.3">
      <c r="A174" s="147" t="s">
        <v>3389</v>
      </c>
    </row>
    <row r="175" spans="1:8" x14ac:dyDescent="0.3">
      <c r="A175" s="147"/>
    </row>
    <row r="176" spans="1:8" ht="15.5" x14ac:dyDescent="0.35">
      <c r="A176" s="9" t="s">
        <v>1296</v>
      </c>
    </row>
    <row r="177" spans="1:8" ht="15.5" x14ac:dyDescent="0.35">
      <c r="A177" s="29" t="s">
        <v>1469</v>
      </c>
    </row>
    <row r="178" spans="1:8" x14ac:dyDescent="0.3">
      <c r="A178" s="3"/>
      <c r="B178" s="8" t="s">
        <v>1471</v>
      </c>
      <c r="C178" s="8" t="s">
        <v>1472</v>
      </c>
      <c r="D178" s="8" t="s">
        <v>1473</v>
      </c>
      <c r="E178" s="8" t="s">
        <v>1470</v>
      </c>
      <c r="F178" s="8" t="s">
        <v>3259</v>
      </c>
      <c r="G178" s="8" t="s">
        <v>1220</v>
      </c>
      <c r="H178" s="110" t="s">
        <v>1206</v>
      </c>
    </row>
    <row r="179" spans="1:8" x14ac:dyDescent="0.3">
      <c r="A179" s="3" t="s">
        <v>1207</v>
      </c>
      <c r="B179" s="3">
        <f>COUNTIF('KEMBE_Cleaned Data'!UM:UM,"public")</f>
        <v>2</v>
      </c>
      <c r="C179" s="3">
        <f>COUNTIF('KEMBE_Cleaned Data'!UM:UM,"prive")</f>
        <v>0</v>
      </c>
      <c r="D179" s="3">
        <f>COUNTIF('KEMBE_Cleaned Data'!UM:UM,"religieux")</f>
        <v>0</v>
      </c>
      <c r="E179" s="3">
        <f>COUNTIF('KEMBE_Cleaned Data'!UM:UM,"ong")</f>
        <v>0</v>
      </c>
      <c r="F179" s="3">
        <f>COUNTIF('KEMBE_Cleaned Data'!UM:UM,"nsp")</f>
        <v>0</v>
      </c>
      <c r="G179" s="123">
        <f>COUNTIF('KEMBE_Cleaned Data'!UM:UM,"autre")</f>
        <v>0</v>
      </c>
      <c r="H179" s="111">
        <f>SUM(B179:G179)</f>
        <v>2</v>
      </c>
    </row>
    <row r="180" spans="1:8" s="36" customFormat="1" ht="37" x14ac:dyDescent="0.3">
      <c r="A180" s="54" t="s">
        <v>3309</v>
      </c>
      <c r="B180" s="94">
        <f t="shared" ref="B180:G180" si="12">B179/$C$4</f>
        <v>1</v>
      </c>
      <c r="C180" s="94">
        <f t="shared" si="12"/>
        <v>0</v>
      </c>
      <c r="D180" s="94">
        <f t="shared" si="12"/>
        <v>0</v>
      </c>
      <c r="E180" s="94">
        <f t="shared" si="12"/>
        <v>0</v>
      </c>
      <c r="F180" s="94">
        <f t="shared" si="12"/>
        <v>0</v>
      </c>
      <c r="G180" s="94">
        <f t="shared" si="12"/>
        <v>0</v>
      </c>
      <c r="H180" s="100">
        <f>SUM(B180:G180)</f>
        <v>1</v>
      </c>
    </row>
    <row r="181" spans="1:8" x14ac:dyDescent="0.3">
      <c r="A181" s="14"/>
      <c r="B181" s="14"/>
      <c r="C181" s="14"/>
      <c r="D181" s="14"/>
      <c r="E181" s="14"/>
      <c r="F181" s="14"/>
    </row>
    <row r="182" spans="1:8" ht="15.5" x14ac:dyDescent="0.35">
      <c r="A182" s="45" t="s">
        <v>1474</v>
      </c>
      <c r="B182" s="14"/>
      <c r="C182" s="14"/>
      <c r="D182" s="14"/>
      <c r="E182" s="14"/>
      <c r="F182" s="14"/>
    </row>
    <row r="183" spans="1:8" x14ac:dyDescent="0.3">
      <c r="A183" s="3"/>
      <c r="B183" s="8" t="s">
        <v>1210</v>
      </c>
      <c r="C183" s="8" t="s">
        <v>1209</v>
      </c>
      <c r="D183" s="110" t="s">
        <v>1206</v>
      </c>
      <c r="E183" s="14"/>
      <c r="F183" s="14"/>
    </row>
    <row r="184" spans="1:8" x14ac:dyDescent="0.3">
      <c r="A184" s="3" t="s">
        <v>1207</v>
      </c>
      <c r="B184" s="3">
        <f>COUNTIF('KEMBE_Cleaned Data'!UO:UO,"oui")</f>
        <v>1</v>
      </c>
      <c r="C184" s="3">
        <f>COUNTIF('KEMBE_Cleaned Data'!UO:UO,"non")</f>
        <v>1</v>
      </c>
      <c r="D184" s="111">
        <f>SUM(B184:C184)</f>
        <v>2</v>
      </c>
      <c r="E184" s="14"/>
      <c r="F184" s="14"/>
    </row>
    <row r="185" spans="1:8" s="36" customFormat="1" ht="37" x14ac:dyDescent="0.3">
      <c r="A185" s="54" t="s">
        <v>3309</v>
      </c>
      <c r="B185" s="94">
        <f>(B184/$C$4)</f>
        <v>0.5</v>
      </c>
      <c r="C185" s="94">
        <f>(C184/$C$4)</f>
        <v>0.5</v>
      </c>
      <c r="D185" s="100">
        <f>SUM(B185:C185)</f>
        <v>1</v>
      </c>
      <c r="E185" s="47"/>
      <c r="F185" s="47"/>
    </row>
    <row r="186" spans="1:8" ht="15.5" x14ac:dyDescent="0.35">
      <c r="A186" s="9"/>
    </row>
    <row r="187" spans="1:8" ht="15.5" x14ac:dyDescent="0.35">
      <c r="A187" s="29" t="s">
        <v>1298</v>
      </c>
      <c r="D187" s="103" t="s">
        <v>3245</v>
      </c>
    </row>
    <row r="188" spans="1:8" x14ac:dyDescent="0.3">
      <c r="A188" s="3"/>
      <c r="B188" s="8" t="s">
        <v>1250</v>
      </c>
      <c r="C188" s="8" t="s">
        <v>1251</v>
      </c>
      <c r="D188" s="8" t="s">
        <v>1905</v>
      </c>
      <c r="E188" s="8" t="s">
        <v>1205</v>
      </c>
      <c r="F188" s="8" t="s">
        <v>1252</v>
      </c>
    </row>
    <row r="189" spans="1:8" x14ac:dyDescent="0.3">
      <c r="A189" s="3" t="s">
        <v>1207</v>
      </c>
      <c r="B189" s="3">
        <f>COUNTIF('KEMBE_Cleaned Data'!UG:UG,"1")</f>
        <v>0</v>
      </c>
      <c r="C189" s="3">
        <f>COUNTIF('KEMBE_Cleaned Data'!UH:UH,"1")</f>
        <v>0</v>
      </c>
      <c r="D189" s="3">
        <f>COUNTIF('KEMBE_Cleaned Data'!UI:UI,"1")</f>
        <v>0</v>
      </c>
      <c r="E189" s="3">
        <f>COUNTIF('KEMBE_Cleaned Data'!UJ:UJ,"1")</f>
        <v>0</v>
      </c>
      <c r="F189" s="3">
        <f>COUNTIF('KEMBE_Cleaned Data'!UK:UK,"1")</f>
        <v>2</v>
      </c>
    </row>
    <row r="190" spans="1:8" s="36" customFormat="1" ht="37" x14ac:dyDescent="0.3">
      <c r="A190" s="54" t="s">
        <v>3309</v>
      </c>
      <c r="B190" s="94">
        <f>B189/$C$4</f>
        <v>0</v>
      </c>
      <c r="C190" s="94">
        <f>C189/$C$4</f>
        <v>0</v>
      </c>
      <c r="D190" s="94">
        <f>D189/$C$4</f>
        <v>0</v>
      </c>
      <c r="E190" s="94">
        <f>E189/$C$4</f>
        <v>0</v>
      </c>
      <c r="F190" s="94">
        <f t="shared" ref="F190" si="13">F189/$B$9</f>
        <v>1</v>
      </c>
    </row>
    <row r="192" spans="1:8" ht="15.5" x14ac:dyDescent="0.35">
      <c r="A192" s="29" t="s">
        <v>1299</v>
      </c>
      <c r="D192" s="103" t="s">
        <v>3245</v>
      </c>
    </row>
    <row r="193" spans="1:26" s="36" customFormat="1" ht="76.5" customHeight="1" x14ac:dyDescent="0.35">
      <c r="A193" s="8" t="s">
        <v>1475</v>
      </c>
      <c r="B193" s="8" t="s">
        <v>2075</v>
      </c>
      <c r="C193" s="8" t="s">
        <v>1476</v>
      </c>
      <c r="D193" s="8" t="s">
        <v>1477</v>
      </c>
      <c r="E193" s="8" t="s">
        <v>1478</v>
      </c>
      <c r="F193" s="8" t="s">
        <v>1479</v>
      </c>
      <c r="G193" s="8" t="s">
        <v>1480</v>
      </c>
      <c r="H193" s="8" t="s">
        <v>2076</v>
      </c>
      <c r="I193" s="8" t="s">
        <v>1481</v>
      </c>
      <c r="J193" s="8" t="s">
        <v>1378</v>
      </c>
      <c r="K193" s="8" t="s">
        <v>1482</v>
      </c>
      <c r="L193" s="8" t="s">
        <v>2077</v>
      </c>
      <c r="M193" s="8" t="s">
        <v>2078</v>
      </c>
      <c r="N193" s="8" t="s">
        <v>1381</v>
      </c>
      <c r="O193" s="8" t="s">
        <v>3259</v>
      </c>
      <c r="P193" s="8" t="s">
        <v>1205</v>
      </c>
    </row>
    <row r="194" spans="1:26" x14ac:dyDescent="0.3">
      <c r="A194" s="3">
        <f>COUNTIF('KEMBE_Cleaned Data'!UQ:UQ,"1")</f>
        <v>2</v>
      </c>
      <c r="B194" s="3">
        <f>COUNTIF('KEMBE_Cleaned Data'!UR:UR,"1")</f>
        <v>0</v>
      </c>
      <c r="C194" s="3">
        <f>COUNTIF('KEMBE_Cleaned Data'!US:US,"1")</f>
        <v>2</v>
      </c>
      <c r="D194" s="3">
        <f>COUNTIF('KEMBE_Cleaned Data'!UT:UT,"1")</f>
        <v>1</v>
      </c>
      <c r="E194" s="3">
        <f>COUNTIF('KEMBE_Cleaned Data'!UU:UU,"1")</f>
        <v>0</v>
      </c>
      <c r="F194" s="3">
        <f>COUNTIF('KEMBE_Cleaned Data'!UV:UV,"1")</f>
        <v>2</v>
      </c>
      <c r="G194" s="3">
        <f>COUNTIF('KEMBE_Cleaned Data'!UW:UW,"1")</f>
        <v>2</v>
      </c>
      <c r="H194" s="3">
        <f>COUNTIF('KEMBE_Cleaned Data'!UX:UX,"1")</f>
        <v>1</v>
      </c>
      <c r="I194" s="3">
        <f>COUNTIF('KEMBE_Cleaned Data'!UY:UY,"1")</f>
        <v>2</v>
      </c>
      <c r="J194" s="3">
        <f>COUNTIF('KEMBE_Cleaned Data'!UZ:UZ,"1")</f>
        <v>1</v>
      </c>
      <c r="K194" s="3">
        <f>COUNTIF('KEMBE_Cleaned Data'!VA:VA,"1")</f>
        <v>1</v>
      </c>
      <c r="L194" s="3">
        <f>COUNTIF('KEMBE_Cleaned Data'!VB:VB,"1")</f>
        <v>1</v>
      </c>
      <c r="M194" s="3">
        <f>COUNTIF('KEMBE_Cleaned Data'!VC:VC,"1")</f>
        <v>0</v>
      </c>
      <c r="N194" s="3">
        <f>COUNTIF('KEMBE_Cleaned Data'!VD:VD,"1")</f>
        <v>0</v>
      </c>
      <c r="O194" s="3">
        <f>COUNTIF('KEMBE_Cleaned Data'!VE:VE,"1")</f>
        <v>0</v>
      </c>
      <c r="P194" s="3">
        <f>COUNTIF('KEMBE_Cleaned Data'!VF:VF,"1")</f>
        <v>0</v>
      </c>
    </row>
    <row r="196" spans="1:26" ht="15.5" x14ac:dyDescent="0.35">
      <c r="A196" s="29" t="s">
        <v>1300</v>
      </c>
      <c r="D196" s="103" t="s">
        <v>3245</v>
      </c>
    </row>
    <row r="197" spans="1:26" ht="28" x14ac:dyDescent="0.3">
      <c r="A197" s="8" t="s">
        <v>1236</v>
      </c>
      <c r="B197" s="8" t="s">
        <v>1256</v>
      </c>
      <c r="C197" s="8" t="s">
        <v>1257</v>
      </c>
      <c r="D197" s="8" t="s">
        <v>1239</v>
      </c>
      <c r="E197" s="8" t="s">
        <v>1240</v>
      </c>
      <c r="F197" s="8" t="s">
        <v>1258</v>
      </c>
      <c r="G197" s="8" t="s">
        <v>1259</v>
      </c>
      <c r="H197" s="8" t="s">
        <v>1260</v>
      </c>
      <c r="I197" s="8" t="s">
        <v>1261</v>
      </c>
      <c r="J197" s="8" t="s">
        <v>1252</v>
      </c>
      <c r="K197" s="8" t="s">
        <v>1905</v>
      </c>
      <c r="L197" s="8" t="s">
        <v>1220</v>
      </c>
    </row>
    <row r="198" spans="1:26" x14ac:dyDescent="0.3">
      <c r="A198" s="24">
        <f>COUNTIF('KEMBE_Cleaned Data'!VI:VI,"1")</f>
        <v>0</v>
      </c>
      <c r="B198" s="24">
        <f>COUNTIF('KEMBE_Cleaned Data'!VJ:VJ,"1")</f>
        <v>2</v>
      </c>
      <c r="C198" s="24">
        <f>COUNTIF('KEMBE_Cleaned Data'!VK:VK,"1")</f>
        <v>0</v>
      </c>
      <c r="D198" s="24">
        <f>COUNTIF('KEMBE_Cleaned Data'!VL:VL,"1")</f>
        <v>0</v>
      </c>
      <c r="E198" s="24">
        <f>COUNTIF('KEMBE_Cleaned Data'!VM:VM,"1")</f>
        <v>1</v>
      </c>
      <c r="F198" s="24">
        <f>COUNTIF('KEMBE_Cleaned Data'!VN:VN,"1")</f>
        <v>0</v>
      </c>
      <c r="G198" s="24">
        <f>COUNTIF('KEMBE_Cleaned Data'!VO:VO,"1")</f>
        <v>0</v>
      </c>
      <c r="H198" s="24">
        <f>COUNTIF('KEMBE_Cleaned Data'!VP:VP,"1")</f>
        <v>0</v>
      </c>
      <c r="I198" s="24">
        <f>COUNTIF('KEMBE_Cleaned Data'!VQ:VQ,"1")</f>
        <v>0</v>
      </c>
      <c r="J198" s="24">
        <f>COUNTIF('KEMBE_Cleaned Data'!VR:VR,"1")</f>
        <v>0</v>
      </c>
      <c r="K198" s="24">
        <f>COUNTIF('KEMBE_Cleaned Data'!VS:VS,"1")</f>
        <v>0</v>
      </c>
      <c r="L198" s="24">
        <f>COUNTIF('KEMBE_Cleaned Data'!VT:VT,"1")</f>
        <v>0</v>
      </c>
    </row>
    <row r="200" spans="1:26" ht="15.5" x14ac:dyDescent="0.35">
      <c r="A200" s="29" t="s">
        <v>1334</v>
      </c>
    </row>
    <row r="201" spans="1:26" x14ac:dyDescent="0.3">
      <c r="A201" s="3"/>
      <c r="B201" s="8" t="s">
        <v>1210</v>
      </c>
      <c r="C201" s="8" t="s">
        <v>1209</v>
      </c>
      <c r="D201" s="110" t="s">
        <v>1206</v>
      </c>
    </row>
    <row r="202" spans="1:26" x14ac:dyDescent="0.3">
      <c r="A202" s="3" t="s">
        <v>1207</v>
      </c>
      <c r="B202" s="24">
        <f>COUNTIF('KEMBE_Cleaned Data'!VW:VW,"OUI")</f>
        <v>2</v>
      </c>
      <c r="C202" s="24">
        <f>COUNTIF('KEMBE_Cleaned Data'!VW:VW,"non")</f>
        <v>0</v>
      </c>
      <c r="D202" s="111">
        <f>SUM(B202:C202)</f>
        <v>2</v>
      </c>
    </row>
    <row r="203" spans="1:26" ht="37.5" x14ac:dyDescent="0.3">
      <c r="A203" s="53" t="s">
        <v>3288</v>
      </c>
      <c r="B203" s="39">
        <f>(B202/$C$4)</f>
        <v>1</v>
      </c>
      <c r="C203" s="39">
        <f>(C202/$C$4)</f>
        <v>0</v>
      </c>
      <c r="D203" s="100">
        <f>SUM(B203:C203)</f>
        <v>1</v>
      </c>
    </row>
    <row r="204" spans="1:26" x14ac:dyDescent="0.3">
      <c r="A204" s="91"/>
      <c r="B204" s="15"/>
      <c r="C204" s="15"/>
    </row>
    <row r="205" spans="1:26" s="1" customFormat="1" x14ac:dyDescent="0.3">
      <c r="A205" s="10"/>
      <c r="B205" s="18" t="s">
        <v>1262</v>
      </c>
      <c r="C205" s="10"/>
      <c r="D205" s="103" t="s">
        <v>3245</v>
      </c>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s="56" customFormat="1" ht="28" x14ac:dyDescent="0.3">
      <c r="A206" s="36"/>
      <c r="B206" s="3"/>
      <c r="C206" s="11" t="s">
        <v>1922</v>
      </c>
      <c r="D206" s="11" t="s">
        <v>1369</v>
      </c>
      <c r="E206" s="11" t="s">
        <v>1923</v>
      </c>
      <c r="F206" s="11" t="s">
        <v>1924</v>
      </c>
      <c r="G206" s="11" t="s">
        <v>1925</v>
      </c>
      <c r="H206" s="11" t="s">
        <v>1905</v>
      </c>
      <c r="I206" s="11" t="s">
        <v>1205</v>
      </c>
      <c r="J206" s="61"/>
      <c r="K206" s="61"/>
      <c r="L206" s="36"/>
      <c r="M206" s="36"/>
      <c r="N206" s="36"/>
      <c r="O206" s="36"/>
      <c r="P206" s="36"/>
      <c r="Q206" s="36"/>
      <c r="R206" s="36"/>
      <c r="S206" s="36"/>
      <c r="T206" s="36"/>
      <c r="U206" s="36"/>
      <c r="V206" s="36"/>
      <c r="W206" s="36"/>
      <c r="X206" s="36"/>
      <c r="Y206" s="36"/>
      <c r="Z206" s="36"/>
    </row>
    <row r="207" spans="1:26" s="1" customFormat="1" x14ac:dyDescent="0.3">
      <c r="A207" s="10"/>
      <c r="B207" s="3" t="s">
        <v>1207</v>
      </c>
      <c r="C207" s="24">
        <f>COUNTIF('KEMBE_Cleaned Data'!VY:VY,"1")</f>
        <v>0</v>
      </c>
      <c r="D207" s="24">
        <f>COUNTIF('KEMBE_Cleaned Data'!VZ:VZ,"1")</f>
        <v>0</v>
      </c>
      <c r="E207" s="24">
        <f>COUNTIF('KEMBE_Cleaned Data'!WA:WA,"1")</f>
        <v>1</v>
      </c>
      <c r="F207" s="24">
        <f>COUNTIF('KEMBE_Cleaned Data'!WB:WB,"1")</f>
        <v>0</v>
      </c>
      <c r="G207" s="24">
        <f>COUNTIF('KEMBE_Cleaned Data'!WC:WC,"1")</f>
        <v>1</v>
      </c>
      <c r="H207" s="24">
        <f>COUNTIF('KEMBE_Cleaned Data'!WD:WD,"1")</f>
        <v>0</v>
      </c>
      <c r="I207" s="24">
        <f>COUNTIF('KEMBE_Cleaned Data'!WE:WE,"1")</f>
        <v>1</v>
      </c>
      <c r="J207" s="10"/>
      <c r="K207" s="10"/>
      <c r="L207" s="10"/>
      <c r="M207" s="10"/>
      <c r="N207" s="10"/>
      <c r="O207" s="10"/>
      <c r="P207" s="10"/>
      <c r="Q207" s="10"/>
      <c r="R207" s="10"/>
      <c r="S207" s="10"/>
      <c r="T207" s="10"/>
      <c r="U207" s="10"/>
      <c r="V207" s="10"/>
      <c r="W207" s="10"/>
      <c r="X207" s="10"/>
      <c r="Y207" s="10"/>
      <c r="Z207" s="10"/>
    </row>
    <row r="208" spans="1:26" s="1" customFormat="1" ht="37.5" x14ac:dyDescent="0.3">
      <c r="A208" s="10"/>
      <c r="B208" s="53" t="s">
        <v>3310</v>
      </c>
      <c r="C208" s="7">
        <f>C207/$B$202</f>
        <v>0</v>
      </c>
      <c r="D208" s="7">
        <f t="shared" ref="D208:I208" si="14">D207/$B$202</f>
        <v>0</v>
      </c>
      <c r="E208" s="7">
        <f t="shared" si="14"/>
        <v>0.5</v>
      </c>
      <c r="F208" s="7">
        <f t="shared" si="14"/>
        <v>0</v>
      </c>
      <c r="G208" s="7">
        <f t="shared" si="14"/>
        <v>0.5</v>
      </c>
      <c r="H208" s="7">
        <f t="shared" si="14"/>
        <v>0</v>
      </c>
      <c r="I208" s="7">
        <f t="shared" si="14"/>
        <v>0.5</v>
      </c>
      <c r="J208" s="74"/>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t="s">
        <v>3350</v>
      </c>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0"/>
      <c r="C210" s="10"/>
      <c r="D210" s="10"/>
      <c r="E210" s="10"/>
      <c r="F210" s="10"/>
      <c r="G210" s="10"/>
      <c r="H210" s="10"/>
      <c r="I210" s="74"/>
      <c r="J210" s="10"/>
      <c r="K210" s="10"/>
      <c r="L210" s="10"/>
      <c r="M210" s="10"/>
      <c r="N210" s="10"/>
      <c r="O210" s="10"/>
      <c r="P210" s="10"/>
      <c r="Q210" s="10"/>
      <c r="R210" s="10"/>
      <c r="S210" s="10"/>
      <c r="T210" s="10"/>
      <c r="U210" s="10"/>
      <c r="V210" s="10"/>
      <c r="W210" s="10"/>
      <c r="X210" s="10"/>
      <c r="Y210" s="10"/>
      <c r="Z210" s="10"/>
    </row>
    <row r="211" spans="1:26" s="1" customFormat="1" x14ac:dyDescent="0.3">
      <c r="A211" s="10"/>
      <c r="B211" s="18" t="s">
        <v>1265</v>
      </c>
      <c r="C211" s="10"/>
      <c r="D211" s="103" t="s">
        <v>3245</v>
      </c>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s="56" customFormat="1" ht="56" x14ac:dyDescent="0.3">
      <c r="A212" s="36"/>
      <c r="B212" s="3"/>
      <c r="C212" s="11" t="s">
        <v>1928</v>
      </c>
      <c r="D212" s="11" t="s">
        <v>1926</v>
      </c>
      <c r="E212" s="11" t="s">
        <v>1268</v>
      </c>
      <c r="F212" s="11" t="s">
        <v>1269</v>
      </c>
      <c r="G212" s="11" t="s">
        <v>1927</v>
      </c>
      <c r="H212" s="11" t="s">
        <v>1266</v>
      </c>
      <c r="I212" s="11" t="s">
        <v>1267</v>
      </c>
      <c r="J212" s="11" t="s">
        <v>1929</v>
      </c>
      <c r="K212" s="11" t="s">
        <v>1930</v>
      </c>
      <c r="L212" s="11" t="s">
        <v>1931</v>
      </c>
      <c r="M212" s="11" t="s">
        <v>1932</v>
      </c>
      <c r="N212" s="11" t="s">
        <v>1905</v>
      </c>
      <c r="O212" s="11" t="s">
        <v>1220</v>
      </c>
      <c r="P212" s="61"/>
      <c r="Q212" s="61"/>
      <c r="S212" s="36"/>
      <c r="T212" s="36"/>
      <c r="U212" s="36"/>
      <c r="V212" s="36"/>
      <c r="W212" s="36"/>
      <c r="X212" s="36"/>
      <c r="Y212" s="36"/>
      <c r="Z212" s="36"/>
    </row>
    <row r="213" spans="1:26" s="1" customFormat="1" x14ac:dyDescent="0.3">
      <c r="A213" s="10"/>
      <c r="B213" s="3" t="s">
        <v>1207</v>
      </c>
      <c r="C213" s="24">
        <f>COUNTIF('KEMBE_Cleaned Data'!WH:WH,"1")</f>
        <v>2</v>
      </c>
      <c r="D213" s="24">
        <f>COUNTIF('KEMBE_Cleaned Data'!WI:WI,"1")</f>
        <v>0</v>
      </c>
      <c r="E213" s="24">
        <f>COUNTIF('KEMBE_Cleaned Data'!WJ:WJ,"1")</f>
        <v>0</v>
      </c>
      <c r="F213" s="24">
        <f>COUNTIF('KEMBE_Cleaned Data'!WK:WK,"1")</f>
        <v>0</v>
      </c>
      <c r="G213" s="24">
        <f>COUNTIF('KEMBE_Cleaned Data'!WL:WL,"1")</f>
        <v>0</v>
      </c>
      <c r="H213" s="24">
        <f>COUNTIF('KEMBE_Cleaned Data'!WM:WM,"1")</f>
        <v>0</v>
      </c>
      <c r="I213" s="24">
        <f>COUNTIF('KEMBE_Cleaned Data'!WN:WN,"1")</f>
        <v>0</v>
      </c>
      <c r="J213" s="24">
        <f>COUNTIF('KEMBE_Cleaned Data'!WO:WO,"1")</f>
        <v>0</v>
      </c>
      <c r="K213" s="24">
        <f>COUNTIF('KEMBE_Cleaned Data'!WP:WP,"1")</f>
        <v>0</v>
      </c>
      <c r="L213" s="24">
        <f>COUNTIF('KEMBE_Cleaned Data'!WQ:WQ,"1")</f>
        <v>0</v>
      </c>
      <c r="M213" s="24">
        <f>COUNTIF('KEMBE_Cleaned Data'!WR:WR,"1")</f>
        <v>0</v>
      </c>
      <c r="N213" s="24">
        <f>COUNTIF('KEMBE_Cleaned Data'!WS:WS,"1")</f>
        <v>0</v>
      </c>
      <c r="O213" s="24">
        <f>COUNTIF('KEMBE_Cleaned Data'!WT:WT,"1")</f>
        <v>0</v>
      </c>
      <c r="P213" s="10"/>
      <c r="Q213" s="10"/>
      <c r="R213" s="10"/>
      <c r="S213" s="10"/>
      <c r="T213" s="10"/>
      <c r="U213" s="10"/>
      <c r="V213" s="10"/>
      <c r="W213" s="10"/>
      <c r="X213" s="10"/>
      <c r="Y213" s="10"/>
      <c r="Z213" s="10"/>
    </row>
    <row r="214" spans="1:26" s="1" customFormat="1" ht="37.5" x14ac:dyDescent="0.3">
      <c r="A214" s="10"/>
      <c r="B214" s="53" t="s">
        <v>3310</v>
      </c>
      <c r="C214" s="7">
        <f>C213/$B$202</f>
        <v>1</v>
      </c>
      <c r="D214" s="7">
        <f t="shared" ref="D214:O214" si="15">D213/$B$202</f>
        <v>0</v>
      </c>
      <c r="E214" s="7">
        <f t="shared" si="15"/>
        <v>0</v>
      </c>
      <c r="F214" s="7">
        <f t="shared" si="15"/>
        <v>0</v>
      </c>
      <c r="G214" s="7">
        <f t="shared" si="15"/>
        <v>0</v>
      </c>
      <c r="H214" s="7">
        <f t="shared" si="15"/>
        <v>0</v>
      </c>
      <c r="I214" s="7">
        <f t="shared" si="15"/>
        <v>0</v>
      </c>
      <c r="J214" s="7">
        <f t="shared" si="15"/>
        <v>0</v>
      </c>
      <c r="K214" s="7">
        <f t="shared" si="15"/>
        <v>0</v>
      </c>
      <c r="L214" s="7">
        <f t="shared" si="15"/>
        <v>0</v>
      </c>
      <c r="M214" s="7">
        <f t="shared" si="15"/>
        <v>0</v>
      </c>
      <c r="N214" s="7">
        <f t="shared" si="15"/>
        <v>0</v>
      </c>
      <c r="O214" s="7">
        <f t="shared" si="15"/>
        <v>0</v>
      </c>
      <c r="P214" s="10"/>
      <c r="Q214" s="10"/>
      <c r="R214" s="10"/>
      <c r="S214" s="10"/>
      <c r="T214" s="10"/>
      <c r="U214" s="10"/>
      <c r="V214" s="10"/>
      <c r="W214" s="10"/>
      <c r="X214" s="10"/>
      <c r="Y214" s="10"/>
      <c r="Z214" s="10"/>
    </row>
    <row r="215" spans="1:26" x14ac:dyDescent="0.3">
      <c r="B215" s="15"/>
      <c r="C215" s="15"/>
      <c r="D215" s="15"/>
      <c r="E215" s="15"/>
      <c r="F215" s="15"/>
      <c r="G215" s="15"/>
      <c r="H215" s="15"/>
    </row>
    <row r="216" spans="1:26" s="1" customFormat="1" x14ac:dyDescent="0.3">
      <c r="A216" s="10"/>
      <c r="B216" s="18" t="s">
        <v>1406</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c r="C217" s="11" t="s">
        <v>1210</v>
      </c>
      <c r="D217" s="11" t="s">
        <v>1209</v>
      </c>
      <c r="E217" s="110" t="s">
        <v>1206</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x14ac:dyDescent="0.3">
      <c r="A218" s="10"/>
      <c r="B218" s="3" t="s">
        <v>1207</v>
      </c>
      <c r="C218" s="24">
        <f>COUNTIF('KEMBE_Cleaned Data'!WV:WV,"OUI")</f>
        <v>1</v>
      </c>
      <c r="D218" s="24">
        <f>COUNTIF('KEMBE_Cleaned Data'!WV:WV,"non")</f>
        <v>1</v>
      </c>
      <c r="E218" s="111">
        <f>SUM(C218:D218)</f>
        <v>2</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ht="37.5" x14ac:dyDescent="0.3">
      <c r="A219" s="10"/>
      <c r="B219" s="53" t="s">
        <v>3310</v>
      </c>
      <c r="C219" s="7">
        <f>(C218/$B$202)</f>
        <v>0.5</v>
      </c>
      <c r="D219" s="7">
        <f>(D218/$B$202)</f>
        <v>0.5</v>
      </c>
      <c r="E219" s="100">
        <f>SUM(C219:D219)</f>
        <v>1</v>
      </c>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18" t="s">
        <v>1270</v>
      </c>
      <c r="D221" s="10"/>
      <c r="E221" s="103" t="s">
        <v>3245</v>
      </c>
      <c r="F221" s="10"/>
      <c r="G221" s="10"/>
      <c r="H221" s="10"/>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c r="D222" s="11" t="s">
        <v>1271</v>
      </c>
      <c r="E222" s="11" t="s">
        <v>1272</v>
      </c>
      <c r="F222" s="11" t="s">
        <v>1273</v>
      </c>
      <c r="G222" s="11" t="s">
        <v>1274</v>
      </c>
      <c r="H222" s="11" t="s">
        <v>1205</v>
      </c>
      <c r="I222" s="10"/>
      <c r="J222" s="10"/>
      <c r="K222" s="10"/>
      <c r="L222" s="10"/>
      <c r="M222" s="10"/>
      <c r="N222" s="10"/>
      <c r="O222" s="10"/>
      <c r="P222" s="10"/>
      <c r="Q222" s="10"/>
      <c r="R222" s="10"/>
      <c r="S222" s="10"/>
      <c r="T222" s="10"/>
      <c r="U222" s="10"/>
      <c r="V222" s="10"/>
      <c r="W222" s="10"/>
      <c r="X222" s="10"/>
      <c r="Y222" s="10"/>
      <c r="Z222" s="10"/>
    </row>
    <row r="223" spans="1:26" s="1" customFormat="1" x14ac:dyDescent="0.3">
      <c r="A223" s="10"/>
      <c r="B223" s="10"/>
      <c r="C223" s="3" t="s">
        <v>1207</v>
      </c>
      <c r="D223" s="4">
        <f>COUNTIF('KEMBE_Cleaned Data'!WX:WX,"1")</f>
        <v>1</v>
      </c>
      <c r="E223" s="4">
        <f>COUNTIF('KEMBE_Cleaned Data'!WY:WY,"1")</f>
        <v>1</v>
      </c>
      <c r="F223" s="4">
        <f>COUNTIF('KEMBE_Cleaned Data'!WZ:WZ,"1")</f>
        <v>0</v>
      </c>
      <c r="G223" s="4">
        <f>COUNTIF('KEMBE_Cleaned Data'!XA:XA,"1")</f>
        <v>0</v>
      </c>
      <c r="H223" s="4">
        <f>COUNTIF('KEMBE_Cleaned Data'!XB:XB,"1")</f>
        <v>0</v>
      </c>
      <c r="I223" s="10"/>
      <c r="J223" s="10"/>
      <c r="K223" s="10"/>
      <c r="L223" s="10"/>
      <c r="M223" s="10"/>
      <c r="N223" s="10"/>
      <c r="O223" s="10"/>
      <c r="P223" s="10"/>
      <c r="Q223" s="10"/>
      <c r="R223" s="10"/>
      <c r="S223" s="10"/>
      <c r="T223" s="10"/>
      <c r="U223" s="10"/>
      <c r="V223" s="10"/>
      <c r="W223" s="10"/>
      <c r="X223" s="10"/>
      <c r="Y223" s="10"/>
      <c r="Z223" s="10"/>
    </row>
    <row r="224" spans="1:26" s="1" customFormat="1" ht="49" x14ac:dyDescent="0.3">
      <c r="A224" s="10"/>
      <c r="B224" s="10"/>
      <c r="C224" s="53" t="s">
        <v>3311</v>
      </c>
      <c r="D224" s="7">
        <f>D223/$D$218</f>
        <v>1</v>
      </c>
      <c r="E224" s="7">
        <f t="shared" ref="E224:H224" si="16">E223/$D$218</f>
        <v>1</v>
      </c>
      <c r="F224" s="7">
        <f t="shared" si="16"/>
        <v>0</v>
      </c>
      <c r="G224" s="7">
        <f t="shared" si="16"/>
        <v>0</v>
      </c>
      <c r="H224" s="7">
        <f t="shared" si="16"/>
        <v>0</v>
      </c>
      <c r="I224" s="10"/>
      <c r="J224" s="10"/>
      <c r="K224" s="10"/>
      <c r="L224" s="10"/>
      <c r="M224" s="10"/>
      <c r="N224" s="10"/>
      <c r="O224" s="10"/>
      <c r="P224" s="10"/>
      <c r="Q224" s="10"/>
      <c r="R224" s="10"/>
      <c r="S224" s="10"/>
      <c r="T224" s="10"/>
      <c r="U224" s="10"/>
      <c r="V224" s="10"/>
      <c r="W224" s="10"/>
      <c r="X224" s="10"/>
      <c r="Y224" s="10"/>
      <c r="Z224" s="10"/>
    </row>
    <row r="226" spans="1:13" ht="15.5" x14ac:dyDescent="0.35">
      <c r="A226" s="9" t="s">
        <v>1301</v>
      </c>
      <c r="C226" s="103" t="s">
        <v>3245</v>
      </c>
    </row>
    <row r="227" spans="1:13" s="36" customFormat="1" ht="84" x14ac:dyDescent="0.35">
      <c r="A227" s="8" t="s">
        <v>2081</v>
      </c>
      <c r="B227" s="8" t="s">
        <v>1483</v>
      </c>
      <c r="C227" s="8" t="s">
        <v>2082</v>
      </c>
      <c r="D227" s="8" t="s">
        <v>2083</v>
      </c>
      <c r="E227" s="8" t="s">
        <v>2084</v>
      </c>
      <c r="F227" s="8" t="s">
        <v>1484</v>
      </c>
      <c r="G227" s="8" t="s">
        <v>1268</v>
      </c>
      <c r="H227" s="8" t="s">
        <v>2085</v>
      </c>
      <c r="I227" s="8" t="s">
        <v>2086</v>
      </c>
      <c r="J227" s="8" t="s">
        <v>2087</v>
      </c>
      <c r="K227" s="8" t="s">
        <v>2088</v>
      </c>
      <c r="L227" s="8" t="s">
        <v>1905</v>
      </c>
      <c r="M227" s="8" t="s">
        <v>1220</v>
      </c>
    </row>
    <row r="228" spans="1:13" x14ac:dyDescent="0.3">
      <c r="A228" s="24">
        <f>COUNTIF('KEMBE_Cleaned Data'!XE:XE,"1")</f>
        <v>0</v>
      </c>
      <c r="B228" s="24">
        <f>COUNTIF('KEMBE_Cleaned Data'!XF:XF,"1")</f>
        <v>1</v>
      </c>
      <c r="C228" s="24">
        <f>COUNTIF('KEMBE_Cleaned Data'!XG:XG,"1")</f>
        <v>0</v>
      </c>
      <c r="D228" s="24">
        <f>COUNTIF('KEMBE_Cleaned Data'!XH:XH,"1")</f>
        <v>2</v>
      </c>
      <c r="E228" s="24">
        <f>COUNTIF('KEMBE_Cleaned Data'!XI:XI,"1")</f>
        <v>1</v>
      </c>
      <c r="F228" s="24">
        <f>COUNTIF('KEMBE_Cleaned Data'!XJ:XJ,"1")</f>
        <v>2</v>
      </c>
      <c r="G228" s="24">
        <f>COUNTIF('KEMBE_Cleaned Data'!XK:XK,"1")</f>
        <v>1</v>
      </c>
      <c r="H228" s="24">
        <f>COUNTIF('KEMBE_Cleaned Data'!XL:XL,"1")</f>
        <v>1</v>
      </c>
      <c r="I228" s="24">
        <f>COUNTIF('KEMBE_Cleaned Data'!XM:XM,"1")</f>
        <v>0</v>
      </c>
      <c r="J228" s="24">
        <f>COUNTIF('KEMBE_Cleaned Data'!XN:XN,"1")</f>
        <v>0</v>
      </c>
      <c r="K228" s="24">
        <f>COUNTIF('KEMBE_Cleaned Data'!XO:XO,"1")</f>
        <v>0</v>
      </c>
      <c r="L228" s="24">
        <f>COUNTIF('KEMBE_Cleaned Data'!XP:XP,"1")</f>
        <v>0</v>
      </c>
      <c r="M228" s="24">
        <f>COUNTIF('KEMBE_Cleaned Data'!XQ:XQ,"1")</f>
        <v>0</v>
      </c>
    </row>
    <row r="229" spans="1:13" x14ac:dyDescent="0.3">
      <c r="M229" s="74"/>
    </row>
    <row r="230" spans="1:13" ht="15.5" x14ac:dyDescent="0.35">
      <c r="A230" s="9" t="s">
        <v>1485</v>
      </c>
    </row>
    <row r="231" spans="1:13" ht="15.5" x14ac:dyDescent="0.35">
      <c r="A231" s="29" t="s">
        <v>1486</v>
      </c>
    </row>
    <row r="232" spans="1:13" x14ac:dyDescent="0.3">
      <c r="A232" s="3"/>
      <c r="B232" s="8" t="s">
        <v>1210</v>
      </c>
      <c r="C232" s="8" t="s">
        <v>1209</v>
      </c>
      <c r="D232" s="110" t="s">
        <v>1206</v>
      </c>
    </row>
    <row r="233" spans="1:13" x14ac:dyDescent="0.3">
      <c r="A233" s="3" t="s">
        <v>1207</v>
      </c>
      <c r="B233" s="4">
        <f>COUNTIF('KEMBE_Cleaned Data'!XT:XT,"OUI")</f>
        <v>2</v>
      </c>
      <c r="C233" s="4">
        <f>COUNTIF('KEMBE_Cleaned Data'!XT:XT,"non")</f>
        <v>0</v>
      </c>
      <c r="D233" s="111">
        <f>SUM(B233:C233)</f>
        <v>2</v>
      </c>
    </row>
    <row r="234" spans="1:13" s="36" customFormat="1" ht="37" x14ac:dyDescent="0.3">
      <c r="A234" s="54" t="s">
        <v>3301</v>
      </c>
      <c r="B234" s="120">
        <f>(B233/$E$9)</f>
        <v>1</v>
      </c>
      <c r="C234" s="120">
        <f>(C233/$E$9)</f>
        <v>0</v>
      </c>
      <c r="D234" s="100">
        <f>SUM(B234:C234)</f>
        <v>1</v>
      </c>
    </row>
    <row r="236" spans="1:13" x14ac:dyDescent="0.3">
      <c r="B236" s="18" t="s">
        <v>1487</v>
      </c>
      <c r="D236" s="103" t="s">
        <v>3245</v>
      </c>
    </row>
    <row r="237" spans="1:13" s="36" customFormat="1" ht="56" x14ac:dyDescent="0.3">
      <c r="B237" s="3"/>
      <c r="C237" s="11" t="s">
        <v>1488</v>
      </c>
      <c r="D237" s="11" t="s">
        <v>1489</v>
      </c>
      <c r="E237" s="11" t="s">
        <v>1490</v>
      </c>
      <c r="F237" s="11" t="s">
        <v>1491</v>
      </c>
      <c r="G237" s="11" t="s">
        <v>1492</v>
      </c>
      <c r="H237" s="11" t="s">
        <v>1493</v>
      </c>
      <c r="I237" s="11" t="s">
        <v>3259</v>
      </c>
      <c r="J237" s="11" t="s">
        <v>1205</v>
      </c>
    </row>
    <row r="238" spans="1:13" x14ac:dyDescent="0.3">
      <c r="B238" s="3" t="s">
        <v>1207</v>
      </c>
      <c r="C238" s="24">
        <f>COUNTIF('KEMBE_Cleaned Data'!XV:XV,"1")</f>
        <v>1</v>
      </c>
      <c r="D238" s="24">
        <f>COUNTIF('KEMBE_Cleaned Data'!XW:XW,"1")</f>
        <v>1</v>
      </c>
      <c r="E238" s="24">
        <f>COUNTIF('KEMBE_Cleaned Data'!XX:XX,"1")</f>
        <v>1</v>
      </c>
      <c r="F238" s="24">
        <f>COUNTIF('KEMBE_Cleaned Data'!XY:XY,"1")</f>
        <v>1</v>
      </c>
      <c r="G238" s="24">
        <f>COUNTIF('KEMBE_Cleaned Data'!XZ:XZ,"1")</f>
        <v>2</v>
      </c>
      <c r="H238" s="24">
        <f>COUNTIF('KEMBE_Cleaned Data'!YA:YA,"1")</f>
        <v>1</v>
      </c>
      <c r="I238" s="24">
        <f>COUNTIF('KEMBE_Cleaned Data'!YB:YB,"1")</f>
        <v>0</v>
      </c>
      <c r="J238" s="24">
        <f>COUNTIF('KEMBE_Cleaned Data'!YC:YC,"1")</f>
        <v>0</v>
      </c>
    </row>
    <row r="239" spans="1:13" ht="37" x14ac:dyDescent="0.3">
      <c r="B239" s="54" t="s">
        <v>3313</v>
      </c>
      <c r="C239" s="120">
        <f>(C238/$B$233)</f>
        <v>0.5</v>
      </c>
      <c r="D239" s="120">
        <f t="shared" ref="D239:J239" si="17">(D238/$B$233)</f>
        <v>0.5</v>
      </c>
      <c r="E239" s="120">
        <f t="shared" si="17"/>
        <v>0.5</v>
      </c>
      <c r="F239" s="120">
        <f t="shared" si="17"/>
        <v>0.5</v>
      </c>
      <c r="G239" s="120">
        <f t="shared" si="17"/>
        <v>1</v>
      </c>
      <c r="H239" s="120">
        <f t="shared" si="17"/>
        <v>0.5</v>
      </c>
      <c r="I239" s="120">
        <f t="shared" si="17"/>
        <v>0</v>
      </c>
      <c r="J239" s="120">
        <f t="shared" si="17"/>
        <v>0</v>
      </c>
    </row>
    <row r="241" spans="1:4" ht="15.5" x14ac:dyDescent="0.35">
      <c r="A241" s="29" t="s">
        <v>1494</v>
      </c>
    </row>
    <row r="242" spans="1:4" x14ac:dyDescent="0.3">
      <c r="A242" s="3"/>
      <c r="B242" s="8" t="s">
        <v>1210</v>
      </c>
      <c r="C242" s="8" t="s">
        <v>1209</v>
      </c>
      <c r="D242" s="110" t="s">
        <v>1206</v>
      </c>
    </row>
    <row r="243" spans="1:4" x14ac:dyDescent="0.3">
      <c r="A243" s="3" t="s">
        <v>1207</v>
      </c>
      <c r="B243" s="4">
        <f>COUNTIF('KEMBE_Cleaned Data'!YE:YE,"OUI")</f>
        <v>0</v>
      </c>
      <c r="C243" s="4">
        <f>COUNTIF('KEMBE_Cleaned Data'!YE:YE,"non")</f>
        <v>2</v>
      </c>
      <c r="D243" s="111">
        <f>SUM(B243:C243)</f>
        <v>2</v>
      </c>
    </row>
    <row r="244" spans="1:4" ht="37" x14ac:dyDescent="0.3">
      <c r="A244" s="54" t="s">
        <v>3301</v>
      </c>
      <c r="B244" s="120">
        <f>(B243/$E$9)</f>
        <v>0</v>
      </c>
      <c r="C244" s="120">
        <f>(C243/$E$9)</f>
        <v>1</v>
      </c>
      <c r="D244" s="100">
        <f>SUM(B244:C244)</f>
        <v>1</v>
      </c>
    </row>
    <row r="246" spans="1:4" ht="15.5" x14ac:dyDescent="0.35">
      <c r="A246" s="29" t="s">
        <v>1495</v>
      </c>
    </row>
    <row r="247" spans="1:4" x14ac:dyDescent="0.3">
      <c r="A247" s="3"/>
      <c r="B247" s="8" t="s">
        <v>1210</v>
      </c>
      <c r="C247" s="8" t="s">
        <v>1209</v>
      </c>
      <c r="D247" s="110" t="s">
        <v>1206</v>
      </c>
    </row>
    <row r="248" spans="1:4" x14ac:dyDescent="0.3">
      <c r="A248" s="3" t="s">
        <v>1207</v>
      </c>
      <c r="B248" s="4">
        <f>COUNTIF('KEMBE_Cleaned Data'!YF:YF,"OUI")</f>
        <v>0</v>
      </c>
      <c r="C248" s="4">
        <f>COUNTIF('KEMBE_Cleaned Data'!YF:YF,"non")</f>
        <v>2</v>
      </c>
      <c r="D248" s="111">
        <f>SUM(B248:C248)</f>
        <v>2</v>
      </c>
    </row>
    <row r="249" spans="1:4" ht="37" x14ac:dyDescent="0.3">
      <c r="A249" s="54" t="s">
        <v>3301</v>
      </c>
      <c r="B249" s="120">
        <f>(B248/$E$9)</f>
        <v>0</v>
      </c>
      <c r="C249" s="120">
        <f>(C248/$E$9)</f>
        <v>1</v>
      </c>
      <c r="D249" s="100">
        <f>SUM(B249:C249)</f>
        <v>1</v>
      </c>
    </row>
    <row r="251" spans="1:4" ht="15.5" x14ac:dyDescent="0.35">
      <c r="A251" s="29" t="s">
        <v>1496</v>
      </c>
    </row>
    <row r="252" spans="1:4" x14ac:dyDescent="0.3">
      <c r="A252" s="3"/>
      <c r="B252" s="8" t="s">
        <v>1210</v>
      </c>
      <c r="C252" s="8" t="s">
        <v>1209</v>
      </c>
      <c r="D252" s="110" t="s">
        <v>1206</v>
      </c>
    </row>
    <row r="253" spans="1:4" x14ac:dyDescent="0.3">
      <c r="A253" s="3" t="s">
        <v>1207</v>
      </c>
      <c r="B253" s="4">
        <f>COUNTIF('KEMBE_Cleaned Data'!YH:YH,"OUI")</f>
        <v>1</v>
      </c>
      <c r="C253" s="4">
        <f>COUNTIF('KEMBE_Cleaned Data'!YH:YH,"non")</f>
        <v>1</v>
      </c>
      <c r="D253" s="111">
        <f>SUM(B253:C253)</f>
        <v>2</v>
      </c>
    </row>
    <row r="254" spans="1:4" ht="37" x14ac:dyDescent="0.3">
      <c r="A254" s="54" t="s">
        <v>3301</v>
      </c>
      <c r="B254" s="120">
        <f>(B253/$E$9)</f>
        <v>0.5</v>
      </c>
      <c r="C254" s="120">
        <f>(C253/$E$9)</f>
        <v>0.5</v>
      </c>
      <c r="D254" s="100">
        <f>SUM(B254:C254)</f>
        <v>1</v>
      </c>
    </row>
    <row r="256" spans="1:4" x14ac:dyDescent="0.3">
      <c r="B256" s="18" t="s">
        <v>1497</v>
      </c>
      <c r="D256" s="103" t="s">
        <v>3245</v>
      </c>
    </row>
    <row r="257" spans="1:10" s="36" customFormat="1" ht="42" x14ac:dyDescent="0.3">
      <c r="B257" s="3"/>
      <c r="C257" s="11" t="s">
        <v>1488</v>
      </c>
      <c r="D257" s="11" t="s">
        <v>1498</v>
      </c>
      <c r="E257" s="11" t="s">
        <v>1503</v>
      </c>
      <c r="F257" s="11" t="s">
        <v>1499</v>
      </c>
      <c r="G257" s="11" t="s">
        <v>1500</v>
      </c>
      <c r="H257" s="11" t="s">
        <v>1501</v>
      </c>
      <c r="I257" s="11" t="s">
        <v>1502</v>
      </c>
      <c r="J257" s="11" t="s">
        <v>1220</v>
      </c>
    </row>
    <row r="258" spans="1:10" x14ac:dyDescent="0.3">
      <c r="B258" s="3" t="s">
        <v>1207</v>
      </c>
      <c r="C258" s="24">
        <f>COUNTIF('KEMBE_Cleaned Data'!YJ:YJ,"1")</f>
        <v>1</v>
      </c>
      <c r="D258" s="24">
        <f>COUNTIF('KEMBE_Cleaned Data'!YK:YK,"1")</f>
        <v>1</v>
      </c>
      <c r="E258" s="24">
        <f>COUNTIF('KEMBE_Cleaned Data'!YL:YL,"1")</f>
        <v>1</v>
      </c>
      <c r="F258" s="24">
        <f>COUNTIF('KEMBE_Cleaned Data'!YM:YM,"1")</f>
        <v>0</v>
      </c>
      <c r="G258" s="24">
        <f>COUNTIF('KEMBE_Cleaned Data'!YN:YN,"1")</f>
        <v>0</v>
      </c>
      <c r="H258" s="24">
        <f>COUNTIF('KEMBE_Cleaned Data'!YO:YO,"1")</f>
        <v>0</v>
      </c>
      <c r="I258" s="24">
        <f>COUNTIF('KEMBE_Cleaned Data'!YP:YP,"1")</f>
        <v>0</v>
      </c>
      <c r="J258" s="24">
        <f>COUNTIF('KEMBE_Cleaned Data'!YQ:YQ,"1")</f>
        <v>0</v>
      </c>
    </row>
    <row r="259" spans="1:10" ht="49" x14ac:dyDescent="0.3">
      <c r="B259" s="53" t="s">
        <v>3314</v>
      </c>
      <c r="C259" s="120">
        <f>C258/$B$253</f>
        <v>1</v>
      </c>
      <c r="D259" s="120">
        <f t="shared" ref="D259:J259" si="18">D258/$B$253</f>
        <v>1</v>
      </c>
      <c r="E259" s="120">
        <f t="shared" si="18"/>
        <v>1</v>
      </c>
      <c r="F259" s="120">
        <f t="shared" si="18"/>
        <v>0</v>
      </c>
      <c r="G259" s="120">
        <f t="shared" si="18"/>
        <v>0</v>
      </c>
      <c r="H259" s="120">
        <f t="shared" si="18"/>
        <v>0</v>
      </c>
      <c r="I259" s="120">
        <f t="shared" si="18"/>
        <v>0</v>
      </c>
      <c r="J259" s="120">
        <f t="shared" si="18"/>
        <v>0</v>
      </c>
    </row>
    <row r="261" spans="1:10" x14ac:dyDescent="0.3">
      <c r="B261" s="18" t="s">
        <v>1504</v>
      </c>
    </row>
    <row r="262" spans="1:10" x14ac:dyDescent="0.3">
      <c r="B262" s="3"/>
      <c r="C262" s="6" t="s">
        <v>1210</v>
      </c>
      <c r="D262" s="6" t="s">
        <v>1209</v>
      </c>
      <c r="E262" s="110" t="s">
        <v>1206</v>
      </c>
    </row>
    <row r="263" spans="1:10" x14ac:dyDescent="0.3">
      <c r="B263" s="3" t="s">
        <v>1207</v>
      </c>
      <c r="C263" s="4">
        <f>COUNTIF('KEMBE_Cleaned Data'!YS:YS,"oui")</f>
        <v>0</v>
      </c>
      <c r="D263" s="4">
        <f>COUNTIF('KEMBE_Cleaned Data'!YS:YS,"non")</f>
        <v>1</v>
      </c>
      <c r="E263" s="111">
        <f>SUM(C263:D263)</f>
        <v>1</v>
      </c>
    </row>
    <row r="264" spans="1:10" ht="49" x14ac:dyDescent="0.3">
      <c r="B264" s="53" t="s">
        <v>3314</v>
      </c>
      <c r="C264" s="7">
        <f>(C263/$B$253)</f>
        <v>0</v>
      </c>
      <c r="D264" s="7">
        <f>(D263/$B$253)</f>
        <v>1</v>
      </c>
      <c r="E264" s="100">
        <f>SUM(C264:D264)</f>
        <v>1</v>
      </c>
    </row>
    <row r="266" spans="1:10" x14ac:dyDescent="0.3">
      <c r="C266" s="18" t="s">
        <v>1262</v>
      </c>
      <c r="E266" s="103" t="s">
        <v>3245</v>
      </c>
    </row>
    <row r="267" spans="1:10" ht="28" x14ac:dyDescent="0.3">
      <c r="C267" s="3"/>
      <c r="D267" s="11" t="s">
        <v>1505</v>
      </c>
      <c r="E267" s="11" t="s">
        <v>1506</v>
      </c>
      <c r="F267" s="11" t="s">
        <v>1507</v>
      </c>
      <c r="G267" s="11" t="s">
        <v>1508</v>
      </c>
      <c r="H267" s="11" t="s">
        <v>1220</v>
      </c>
    </row>
    <row r="268" spans="1:10" x14ac:dyDescent="0.3">
      <c r="C268" s="3" t="s">
        <v>1207</v>
      </c>
      <c r="D268" s="24">
        <f>COUNTIF('KEMBE_Cleaned Data'!YU:YU,"1")</f>
        <v>0</v>
      </c>
      <c r="E268" s="24">
        <f>COUNTIF('KEMBE_Cleaned Data'!YV:YV,"1")</f>
        <v>0</v>
      </c>
      <c r="F268" s="24">
        <f>COUNTIF('KEMBE_Cleaned Data'!YW:YW,"1")</f>
        <v>0</v>
      </c>
      <c r="G268" s="24">
        <f>COUNTIF('KEMBE_Cleaned Data'!YX:YX,"1")</f>
        <v>0</v>
      </c>
      <c r="H268" s="24">
        <f>COUNTIF('KEMBE_Cleaned Data'!YY:YY,"1")</f>
        <v>0</v>
      </c>
    </row>
    <row r="269" spans="1:10" ht="60.5" x14ac:dyDescent="0.3">
      <c r="C269" s="53" t="s">
        <v>3314</v>
      </c>
      <c r="D269" s="7">
        <f>(D268/$B$253)</f>
        <v>0</v>
      </c>
      <c r="E269" s="7">
        <f t="shared" ref="E269:H269" si="19">(E268/$B$253)</f>
        <v>0</v>
      </c>
      <c r="F269" s="7">
        <f t="shared" si="19"/>
        <v>0</v>
      </c>
      <c r="G269" s="7">
        <f t="shared" si="19"/>
        <v>0</v>
      </c>
      <c r="H269" s="7">
        <f t="shared" si="19"/>
        <v>0</v>
      </c>
    </row>
    <row r="271" spans="1:10" ht="15.5" x14ac:dyDescent="0.35">
      <c r="A271" s="29" t="s">
        <v>1509</v>
      </c>
    </row>
    <row r="272" spans="1:10" x14ac:dyDescent="0.3">
      <c r="A272" s="3"/>
      <c r="B272" s="8" t="s">
        <v>1210</v>
      </c>
      <c r="C272" s="8" t="s">
        <v>1209</v>
      </c>
      <c r="D272" s="110" t="s">
        <v>1206</v>
      </c>
    </row>
    <row r="273" spans="1:4" x14ac:dyDescent="0.3">
      <c r="A273" s="3" t="s">
        <v>1207</v>
      </c>
      <c r="B273" s="4">
        <f>COUNTIF('KEMBE_Cleaned Data'!ZA:ZA,"OUI")</f>
        <v>1</v>
      </c>
      <c r="C273" s="4">
        <f>COUNTIF('KEMBE_Cleaned Data'!ZA:ZA,"non")</f>
        <v>1</v>
      </c>
      <c r="D273" s="111">
        <f>SUM(B273:C273)</f>
        <v>2</v>
      </c>
    </row>
    <row r="274" spans="1:4" ht="37.5" x14ac:dyDescent="0.3">
      <c r="A274" s="53" t="s">
        <v>3290</v>
      </c>
      <c r="B274" s="39">
        <f>(B273/$E$9)</f>
        <v>0.5</v>
      </c>
      <c r="C274" s="39">
        <f>(C273/$E$9)</f>
        <v>0.5</v>
      </c>
      <c r="D274" s="100">
        <f>SUM(B274:C274)</f>
        <v>1</v>
      </c>
    </row>
    <row r="275" spans="1:4" x14ac:dyDescent="0.3">
      <c r="D275" s="124"/>
    </row>
    <row r="276" spans="1:4" ht="15.5" x14ac:dyDescent="0.35">
      <c r="A276" s="29" t="s">
        <v>1511</v>
      </c>
    </row>
    <row r="277" spans="1:4" x14ac:dyDescent="0.3">
      <c r="A277" s="3"/>
      <c r="B277" s="8" t="s">
        <v>1210</v>
      </c>
      <c r="C277" s="8" t="s">
        <v>1209</v>
      </c>
      <c r="D277" s="110" t="s">
        <v>1206</v>
      </c>
    </row>
    <row r="278" spans="1:4" x14ac:dyDescent="0.3">
      <c r="A278" s="3" t="s">
        <v>1207</v>
      </c>
      <c r="B278" s="4">
        <f>COUNTIF('KEMBE_Cleaned Data'!ZF:ZF,"OUI")</f>
        <v>1</v>
      </c>
      <c r="C278" s="4">
        <f>COUNTIF('KEMBE_Cleaned Data'!ZF:ZF,"non")</f>
        <v>1</v>
      </c>
      <c r="D278" s="111">
        <f>SUM(B278:C278)</f>
        <v>2</v>
      </c>
    </row>
    <row r="279" spans="1:4" ht="37.5" x14ac:dyDescent="0.3">
      <c r="A279" s="53" t="s">
        <v>3290</v>
      </c>
      <c r="B279" s="39">
        <f>(B278/$E$9)</f>
        <v>0.5</v>
      </c>
      <c r="C279" s="39">
        <f>(C278/$E$9)</f>
        <v>0.5</v>
      </c>
      <c r="D279" s="100">
        <f>SUM(B279:C279)</f>
        <v>1</v>
      </c>
    </row>
    <row r="280" spans="1:4" x14ac:dyDescent="0.3">
      <c r="D280" s="124"/>
    </row>
    <row r="281" spans="1:4" ht="15.5" x14ac:dyDescent="0.35">
      <c r="A281" s="29" t="s">
        <v>1510</v>
      </c>
    </row>
    <row r="282" spans="1:4" x14ac:dyDescent="0.3">
      <c r="A282" s="3"/>
      <c r="B282" s="8" t="s">
        <v>1210</v>
      </c>
      <c r="C282" s="8" t="s">
        <v>1209</v>
      </c>
      <c r="D282" s="110" t="s">
        <v>1206</v>
      </c>
    </row>
    <row r="283" spans="1:4" x14ac:dyDescent="0.3">
      <c r="A283" s="3" t="s">
        <v>1207</v>
      </c>
      <c r="B283" s="4">
        <f>COUNTIF('KEMBE_Cleaned Data'!ZK:ZK,"OUI")</f>
        <v>0</v>
      </c>
      <c r="C283" s="4">
        <f>COUNTIF('KEMBE_Cleaned Data'!ZK:ZK,"non")</f>
        <v>2</v>
      </c>
      <c r="D283" s="111">
        <f>SUM(B283:C283)</f>
        <v>2</v>
      </c>
    </row>
    <row r="284" spans="1:4" ht="37.5" x14ac:dyDescent="0.3">
      <c r="A284" s="53" t="s">
        <v>3290</v>
      </c>
      <c r="B284" s="39">
        <f>(B283/$E$9)</f>
        <v>0</v>
      </c>
      <c r="C284" s="39">
        <f>(C283/$E$9)</f>
        <v>1</v>
      </c>
      <c r="D284" s="100">
        <f>SUM(B284:C284)</f>
        <v>1</v>
      </c>
    </row>
    <row r="285" spans="1:4" x14ac:dyDescent="0.3">
      <c r="D285" s="124"/>
    </row>
    <row r="286" spans="1:4" ht="15.5" x14ac:dyDescent="0.35">
      <c r="A286" s="29" t="s">
        <v>1512</v>
      </c>
    </row>
    <row r="287" spans="1:4" x14ac:dyDescent="0.3">
      <c r="A287" s="3"/>
      <c r="B287" s="8" t="s">
        <v>1210</v>
      </c>
      <c r="C287" s="8" t="s">
        <v>1209</v>
      </c>
      <c r="D287" s="110" t="s">
        <v>1206</v>
      </c>
    </row>
    <row r="288" spans="1:4" x14ac:dyDescent="0.3">
      <c r="A288" s="3" t="s">
        <v>1207</v>
      </c>
      <c r="B288" s="4">
        <f>COUNTIF('KEMBE_Cleaned Data'!ZL:ZL,"OUI")</f>
        <v>2</v>
      </c>
      <c r="C288" s="4">
        <f>COUNTIF('KEMBE_Cleaned Data'!ZL:ZL,"non")</f>
        <v>0</v>
      </c>
      <c r="D288" s="111">
        <f>SUM(B288:C288)</f>
        <v>2</v>
      </c>
    </row>
    <row r="289" spans="1:4" ht="37.5" x14ac:dyDescent="0.3">
      <c r="A289" s="53" t="s">
        <v>3290</v>
      </c>
      <c r="B289" s="39">
        <f>(B288/$E$9)</f>
        <v>1</v>
      </c>
      <c r="C289" s="39">
        <f>(C288/$E$9)</f>
        <v>0</v>
      </c>
      <c r="D289" s="100">
        <f>SUM(B289:C289)</f>
        <v>1</v>
      </c>
    </row>
    <row r="290" spans="1:4" x14ac:dyDescent="0.3">
      <c r="D290" s="124"/>
    </row>
    <row r="291" spans="1:4" ht="15.5" x14ac:dyDescent="0.35">
      <c r="A291" s="29" t="s">
        <v>1513</v>
      </c>
    </row>
    <row r="292" spans="1:4" x14ac:dyDescent="0.3">
      <c r="A292" s="3"/>
      <c r="B292" s="8" t="s">
        <v>1210</v>
      </c>
      <c r="C292" s="8" t="s">
        <v>1209</v>
      </c>
      <c r="D292" s="110" t="s">
        <v>1206</v>
      </c>
    </row>
    <row r="293" spans="1:4" x14ac:dyDescent="0.3">
      <c r="A293" s="3" t="s">
        <v>1207</v>
      </c>
      <c r="B293" s="4">
        <f>COUNTIF('KEMBE_Cleaned Data'!ZN:ZN,"OUI")</f>
        <v>0</v>
      </c>
      <c r="C293" s="4">
        <f>COUNTIF('KEMBE_Cleaned Data'!ZN:ZN,"non")</f>
        <v>2</v>
      </c>
      <c r="D293" s="111">
        <f>SUM(B293:C293)</f>
        <v>2</v>
      </c>
    </row>
    <row r="294" spans="1:4" ht="37.5" x14ac:dyDescent="0.3">
      <c r="A294" s="53" t="s">
        <v>3290</v>
      </c>
      <c r="B294" s="39">
        <f>(B293/$E$9)</f>
        <v>0</v>
      </c>
      <c r="C294" s="39">
        <f>(C293/$E$9)</f>
        <v>1</v>
      </c>
      <c r="D294" s="100">
        <f>SUM(B294:C294)</f>
        <v>1</v>
      </c>
    </row>
    <row r="295" spans="1:4" x14ac:dyDescent="0.3">
      <c r="D295" s="124"/>
    </row>
    <row r="296" spans="1:4" ht="15.5" x14ac:dyDescent="0.35">
      <c r="A296" s="29" t="s">
        <v>1514</v>
      </c>
    </row>
    <row r="297" spans="1:4" x14ac:dyDescent="0.3">
      <c r="A297" s="3"/>
      <c r="B297" s="8" t="s">
        <v>1210</v>
      </c>
      <c r="C297" s="8" t="s">
        <v>1209</v>
      </c>
      <c r="D297" s="110" t="s">
        <v>1206</v>
      </c>
    </row>
    <row r="298" spans="1:4" x14ac:dyDescent="0.3">
      <c r="A298" s="3" t="s">
        <v>1207</v>
      </c>
      <c r="B298" s="4">
        <f>COUNTIF('KEMBE_Cleaned Data'!ZO:ZO,"OUI")</f>
        <v>2</v>
      </c>
      <c r="C298" s="4">
        <f>COUNTIF('KEMBE_Cleaned Data'!ZO:ZO,"non")</f>
        <v>0</v>
      </c>
      <c r="D298" s="111">
        <f>SUM(B298:C298)</f>
        <v>2</v>
      </c>
    </row>
    <row r="299" spans="1:4" ht="37.5" x14ac:dyDescent="0.3">
      <c r="A299" s="53" t="s">
        <v>3290</v>
      </c>
      <c r="B299" s="39">
        <f>(B298/$E$9)</f>
        <v>1</v>
      </c>
      <c r="C299" s="39">
        <f>(C298/$E$9)</f>
        <v>0</v>
      </c>
      <c r="D299" s="100">
        <f>SUM(B299:C299)</f>
        <v>1</v>
      </c>
    </row>
    <row r="300" spans="1:4" x14ac:dyDescent="0.3">
      <c r="A300" s="97"/>
      <c r="B300" s="15"/>
      <c r="C300" s="15"/>
      <c r="D300" s="124"/>
    </row>
    <row r="301" spans="1:4" ht="15.5" x14ac:dyDescent="0.35">
      <c r="A301" s="29" t="s">
        <v>1515</v>
      </c>
    </row>
    <row r="302" spans="1:4" x14ac:dyDescent="0.3">
      <c r="A302" s="3"/>
      <c r="B302" s="8" t="s">
        <v>1210</v>
      </c>
      <c r="C302" s="8" t="s">
        <v>1209</v>
      </c>
      <c r="D302" s="110" t="s">
        <v>1206</v>
      </c>
    </row>
    <row r="303" spans="1:4" x14ac:dyDescent="0.3">
      <c r="A303" s="3" t="s">
        <v>1207</v>
      </c>
      <c r="B303" s="4">
        <f>COUNTIF('KEMBE_Cleaned Data'!ZQ:ZQ,"OUI")</f>
        <v>0</v>
      </c>
      <c r="C303" s="4">
        <f>COUNTIF('KEMBE_Cleaned Data'!ZQ:ZQ,"non")</f>
        <v>2</v>
      </c>
      <c r="D303" s="111">
        <f>SUM(B303:C303)</f>
        <v>2</v>
      </c>
    </row>
    <row r="304" spans="1:4" ht="37.5" x14ac:dyDescent="0.3">
      <c r="A304" s="53" t="s">
        <v>3290</v>
      </c>
      <c r="B304" s="39">
        <f>(B303/$E$9)</f>
        <v>0</v>
      </c>
      <c r="C304" s="39">
        <f>(C303/$E$9)</f>
        <v>1</v>
      </c>
      <c r="D304" s="100">
        <f>SUM(B304:C304)</f>
        <v>1</v>
      </c>
    </row>
  </sheetData>
  <mergeCells count="3">
    <mergeCell ref="A4:B4"/>
    <mergeCell ref="A138:D138"/>
    <mergeCell ref="M159:P159"/>
  </mergeCells>
  <conditionalFormatting sqref="A94:M95 D99:M101 D105:M106 F102:M104 D110:M110 J107:M109 B92:N92 D116 D120:M120 L117:M119 F96:M98 F116:M116">
    <cfRule type="colorScale" priority="51">
      <colorScale>
        <cfvo type="min"/>
        <cfvo type="max"/>
        <color theme="6" tint="0.79998168889431442"/>
        <color theme="5" tint="0.39997558519241921"/>
      </colorScale>
    </cfRule>
  </conditionalFormatting>
  <conditionalFormatting sqref="B134:F134">
    <cfRule type="colorScale" priority="50">
      <colorScale>
        <cfvo type="min"/>
        <cfvo type="max"/>
        <color theme="6" tint="0.79998168889431442"/>
        <color theme="5" tint="0.39997558519241921"/>
      </colorScale>
    </cfRule>
  </conditionalFormatting>
  <conditionalFormatting sqref="D157:M157">
    <cfRule type="colorScale" priority="49">
      <colorScale>
        <cfvo type="min"/>
        <cfvo type="max"/>
        <color theme="6" tint="0.79998168889431442"/>
        <color theme="5" tint="0.39997558519241921"/>
      </colorScale>
    </cfRule>
  </conditionalFormatting>
  <conditionalFormatting sqref="B162:G162">
    <cfRule type="colorScale" priority="48">
      <colorScale>
        <cfvo type="min"/>
        <cfvo type="max"/>
        <color theme="6" tint="0.79998168889431442"/>
        <color theme="5" tint="0.39997558519241921"/>
      </colorScale>
    </cfRule>
  </conditionalFormatting>
  <conditionalFormatting sqref="B44:J44">
    <cfRule type="colorScale" priority="47">
      <colorScale>
        <cfvo type="min"/>
        <cfvo type="max"/>
        <color theme="6" tint="0.79998168889431442"/>
        <color theme="5" tint="0.39997558519241921"/>
      </colorScale>
    </cfRule>
  </conditionalFormatting>
  <conditionalFormatting sqref="D118:K118">
    <cfRule type="colorScale" priority="46">
      <colorScale>
        <cfvo type="min"/>
        <cfvo type="max"/>
        <color theme="6" tint="0.79998168889431442"/>
        <color theme="5" tint="0.39997558519241921"/>
      </colorScale>
    </cfRule>
  </conditionalFormatting>
  <conditionalFormatting sqref="B189:F189">
    <cfRule type="colorScale" priority="45">
      <colorScale>
        <cfvo type="min"/>
        <cfvo type="max"/>
        <color theme="6" tint="0.79998168889431442"/>
        <color theme="5" tint="0.39997558519241921"/>
      </colorScale>
    </cfRule>
  </conditionalFormatting>
  <conditionalFormatting sqref="A181:F182 B179:G179 E183:F185">
    <cfRule type="colorScale" priority="44">
      <colorScale>
        <cfvo type="min"/>
        <cfvo type="max"/>
        <color theme="6" tint="0.79998168889431442"/>
        <color theme="5" tint="0.39997558519241921"/>
      </colorScale>
    </cfRule>
  </conditionalFormatting>
  <conditionalFormatting sqref="A194:P194">
    <cfRule type="colorScale" priority="43">
      <colorScale>
        <cfvo type="min"/>
        <cfvo type="max"/>
        <color theme="6" tint="0.79998168889431442"/>
        <color theme="5" tint="0.39997558519241921"/>
      </colorScale>
    </cfRule>
  </conditionalFormatting>
  <conditionalFormatting sqref="A198:L198">
    <cfRule type="colorScale" priority="42">
      <colorScale>
        <cfvo type="min"/>
        <cfvo type="max"/>
        <color theme="6" tint="0.79998168889431442"/>
        <color theme="5" tint="0.39997558519241921"/>
      </colorScale>
    </cfRule>
  </conditionalFormatting>
  <conditionalFormatting sqref="A228:M228">
    <cfRule type="colorScale" priority="41">
      <colorScale>
        <cfvo type="min"/>
        <cfvo type="max"/>
        <color theme="6" tint="0.79998168889431442"/>
        <color theme="5" tint="0.39997558519241921"/>
      </colorScale>
    </cfRule>
  </conditionalFormatting>
  <conditionalFormatting sqref="C238:J238">
    <cfRule type="colorScale" priority="40">
      <colorScale>
        <cfvo type="min"/>
        <cfvo type="max"/>
        <color theme="6" tint="0.79998168889431442"/>
        <color theme="5" tint="0.39997558519241921"/>
      </colorScale>
    </cfRule>
  </conditionalFormatting>
  <conditionalFormatting sqref="C258:J258">
    <cfRule type="colorScale" priority="39">
      <colorScale>
        <cfvo type="min"/>
        <cfvo type="max"/>
        <color theme="6" tint="0.79998168889431442"/>
        <color theme="5" tint="0.39997558519241921"/>
      </colorScale>
    </cfRule>
  </conditionalFormatting>
  <conditionalFormatting sqref="D268:H268">
    <cfRule type="colorScale" priority="38">
      <colorScale>
        <cfvo type="min"/>
        <cfvo type="max"/>
        <color theme="6" tint="0.79998168889431442"/>
        <color theme="5" tint="0.39997558519241921"/>
      </colorScale>
    </cfRule>
  </conditionalFormatting>
  <conditionalFormatting sqref="B9:D9">
    <cfRule type="colorScale" priority="37">
      <colorScale>
        <cfvo type="min"/>
        <cfvo type="max"/>
        <color theme="6" tint="0.79998168889431442"/>
        <color theme="5" tint="0.39997558519241921"/>
      </colorScale>
    </cfRule>
  </conditionalFormatting>
  <conditionalFormatting sqref="C14:M14">
    <cfRule type="colorScale" priority="36">
      <colorScale>
        <cfvo type="min"/>
        <cfvo type="max"/>
        <color theme="6" tint="0.79998168889431442"/>
        <color theme="5" tint="0.39997558519241921"/>
      </colorScale>
    </cfRule>
  </conditionalFormatting>
  <conditionalFormatting sqref="C19:G19">
    <cfRule type="colorScale" priority="35">
      <colorScale>
        <cfvo type="min"/>
        <cfvo type="max"/>
        <color theme="6" tint="0.79998168889431442"/>
        <color theme="5" tint="0.39997558519241921"/>
      </colorScale>
    </cfRule>
  </conditionalFormatting>
  <conditionalFormatting sqref="C29:G29">
    <cfRule type="colorScale" priority="34">
      <colorScale>
        <cfvo type="min"/>
        <cfvo type="max"/>
        <color theme="6" tint="0.79998168889431442"/>
        <color theme="5" tint="0.39997558519241921"/>
      </colorScale>
    </cfRule>
  </conditionalFormatting>
  <conditionalFormatting sqref="B49:D49">
    <cfRule type="colorScale" priority="33">
      <colorScale>
        <cfvo type="min"/>
        <cfvo type="max"/>
        <color theme="6" tint="0.79998168889431442"/>
        <color theme="5" tint="0.39997558519241921"/>
      </colorScale>
    </cfRule>
  </conditionalFormatting>
  <conditionalFormatting sqref="C57:D57">
    <cfRule type="colorScale" priority="32">
      <colorScale>
        <cfvo type="min"/>
        <cfvo type="max"/>
        <color theme="6" tint="0.79998168889431442"/>
        <color theme="5" tint="0.39997558519241921"/>
      </colorScale>
    </cfRule>
  </conditionalFormatting>
  <conditionalFormatting sqref="C66:D66">
    <cfRule type="colorScale" priority="31">
      <colorScale>
        <cfvo type="min"/>
        <cfvo type="max"/>
        <color theme="6" tint="0.79998168889431442"/>
        <color theme="5" tint="0.39997558519241921"/>
      </colorScale>
    </cfRule>
  </conditionalFormatting>
  <conditionalFormatting sqref="B71:C71">
    <cfRule type="colorScale" priority="30">
      <colorScale>
        <cfvo type="min"/>
        <cfvo type="max"/>
        <color theme="6" tint="0.79998168889431442"/>
        <color theme="5" tint="0.39997558519241921"/>
      </colorScale>
    </cfRule>
  </conditionalFormatting>
  <conditionalFormatting sqref="B81:C81">
    <cfRule type="colorScale" priority="29">
      <colorScale>
        <cfvo type="min"/>
        <cfvo type="max"/>
        <color theme="6" tint="0.79998168889431442"/>
        <color theme="5" tint="0.39997558519241921"/>
      </colorScale>
    </cfRule>
  </conditionalFormatting>
  <conditionalFormatting sqref="B34:C34">
    <cfRule type="colorScale" priority="28">
      <colorScale>
        <cfvo type="min"/>
        <cfvo type="max"/>
        <color theme="6" tint="0.79998168889431442"/>
        <color theme="5" tint="0.39997558519241921"/>
      </colorScale>
    </cfRule>
  </conditionalFormatting>
  <conditionalFormatting sqref="C39:E39">
    <cfRule type="colorScale" priority="27">
      <colorScale>
        <cfvo type="min"/>
        <cfvo type="max"/>
        <color theme="6" tint="0.79998168889431442"/>
        <color theme="5" tint="0.39997558519241921"/>
      </colorScale>
    </cfRule>
  </conditionalFormatting>
  <conditionalFormatting sqref="B129:C129">
    <cfRule type="colorScale" priority="26">
      <colorScale>
        <cfvo type="min"/>
        <cfvo type="max"/>
        <color theme="6" tint="0.79998168889431442"/>
        <color theme="5" tint="0.39997558519241921"/>
      </colorScale>
    </cfRule>
  </conditionalFormatting>
  <conditionalFormatting sqref="B142:C142">
    <cfRule type="colorScale" priority="25">
      <colorScale>
        <cfvo type="min"/>
        <cfvo type="max"/>
        <color theme="6" tint="0.79998168889431442"/>
        <color theme="5" tint="0.39997558519241921"/>
      </colorScale>
    </cfRule>
  </conditionalFormatting>
  <conditionalFormatting sqref="D154:J154">
    <cfRule type="colorScale" priority="24">
      <colorScale>
        <cfvo type="min"/>
        <cfvo type="max"/>
        <color theme="6" tint="0.79998168889431442"/>
        <color theme="5" tint="0.39997558519241921"/>
      </colorScale>
    </cfRule>
  </conditionalFormatting>
  <conditionalFormatting sqref="D152:J152">
    <cfRule type="colorScale" priority="23">
      <colorScale>
        <cfvo type="min"/>
        <cfvo type="max"/>
        <color theme="6" tint="0.79998168889431442"/>
        <color theme="5" tint="0.39997558519241921"/>
      </colorScale>
    </cfRule>
  </conditionalFormatting>
  <conditionalFormatting sqref="C103:D103">
    <cfRule type="colorScale" priority="22">
      <colorScale>
        <cfvo type="min"/>
        <cfvo type="max"/>
        <color theme="6" tint="0.79998168889431442"/>
        <color theme="5" tint="0.39997558519241921"/>
      </colorScale>
    </cfRule>
  </conditionalFormatting>
  <conditionalFormatting sqref="K115:M115 D111 L112:M114 F111:M111">
    <cfRule type="colorScale" priority="21">
      <colorScale>
        <cfvo type="min"/>
        <cfvo type="max"/>
        <color theme="6" tint="0.79998168889431442"/>
        <color theme="5" tint="0.39997558519241921"/>
      </colorScale>
    </cfRule>
  </conditionalFormatting>
  <conditionalFormatting sqref="D115:J115 D113:K113">
    <cfRule type="colorScale" priority="20">
      <colorScale>
        <cfvo type="min"/>
        <cfvo type="max"/>
        <color theme="6" tint="0.79998168889431442"/>
        <color theme="5" tint="0.39997558519241921"/>
      </colorScale>
    </cfRule>
  </conditionalFormatting>
  <conditionalFormatting sqref="B184:C184">
    <cfRule type="colorScale" priority="19">
      <colorScale>
        <cfvo type="min"/>
        <cfvo type="max"/>
        <color theme="6" tint="0.79998168889431442"/>
        <color theme="5" tint="0.39997558519241921"/>
      </colorScale>
    </cfRule>
  </conditionalFormatting>
  <conditionalFormatting sqref="B202:C202">
    <cfRule type="colorScale" priority="18">
      <colorScale>
        <cfvo type="min"/>
        <cfvo type="max"/>
        <color theme="6" tint="0.79998168889431442"/>
        <color theme="5" tint="0.39997558519241921"/>
      </colorScale>
    </cfRule>
  </conditionalFormatting>
  <conditionalFormatting sqref="C213:O213">
    <cfRule type="colorScale" priority="17">
      <colorScale>
        <cfvo type="min"/>
        <cfvo type="max"/>
        <color theme="6" tint="0.79998168889431442"/>
        <color theme="5" tint="0.39997558519241921"/>
      </colorScale>
    </cfRule>
  </conditionalFormatting>
  <conditionalFormatting sqref="D223:H223">
    <cfRule type="colorScale" priority="16">
      <colorScale>
        <cfvo type="min"/>
        <cfvo type="max"/>
        <color theme="6" tint="0.79998168889431442"/>
        <color theme="5" tint="0.39997558519241921"/>
      </colorScale>
    </cfRule>
  </conditionalFormatting>
  <conditionalFormatting sqref="C207:I207">
    <cfRule type="colorScale" priority="15">
      <colorScale>
        <cfvo type="min"/>
        <cfvo type="max"/>
        <color theme="6" tint="0.79998168889431442"/>
        <color theme="5" tint="0.39997558519241921"/>
      </colorScale>
    </cfRule>
  </conditionalFormatting>
  <conditionalFormatting sqref="C218:D218">
    <cfRule type="colorScale" priority="14">
      <colorScale>
        <cfvo type="min"/>
        <cfvo type="max"/>
        <color theme="6" tint="0.79998168889431442"/>
        <color theme="5" tint="0.39997558519241921"/>
      </colorScale>
    </cfRule>
  </conditionalFormatting>
  <conditionalFormatting sqref="B233:C233">
    <cfRule type="colorScale" priority="13">
      <colorScale>
        <cfvo type="min"/>
        <cfvo type="max"/>
        <color theme="6" tint="0.79998168889431442"/>
        <color theme="5" tint="0.39997558519241921"/>
      </colorScale>
    </cfRule>
  </conditionalFormatting>
  <conditionalFormatting sqref="B243:C243">
    <cfRule type="colorScale" priority="12">
      <colorScale>
        <cfvo type="min"/>
        <cfvo type="max"/>
        <color theme="6" tint="0.79998168889431442"/>
        <color theme="5" tint="0.39997558519241921"/>
      </colorScale>
    </cfRule>
  </conditionalFormatting>
  <conditionalFormatting sqref="B248:C248">
    <cfRule type="colorScale" priority="11">
      <colorScale>
        <cfvo type="min"/>
        <cfvo type="max"/>
        <color theme="6" tint="0.79998168889431442"/>
        <color theme="5" tint="0.39997558519241921"/>
      </colorScale>
    </cfRule>
  </conditionalFormatting>
  <conditionalFormatting sqref="B253:C253">
    <cfRule type="colorScale" priority="10">
      <colorScale>
        <cfvo type="min"/>
        <cfvo type="max"/>
        <color theme="6" tint="0.79998168889431442"/>
        <color theme="5" tint="0.39997558519241921"/>
      </colorScale>
    </cfRule>
  </conditionalFormatting>
  <conditionalFormatting sqref="C263:D263">
    <cfRule type="colorScale" priority="9">
      <colorScale>
        <cfvo type="min"/>
        <cfvo type="max"/>
        <color theme="6" tint="0.79998168889431442"/>
        <color theme="5" tint="0.39997558519241921"/>
      </colorScale>
    </cfRule>
  </conditionalFormatting>
  <conditionalFormatting sqref="B123:G123">
    <cfRule type="colorScale" priority="8">
      <colorScale>
        <cfvo type="min"/>
        <cfvo type="max"/>
        <color theme="6" tint="0.79998168889431442"/>
        <color theme="5" tint="0.39997558519241921"/>
      </colorScale>
    </cfRule>
  </conditionalFormatting>
  <conditionalFormatting sqref="C86:F86">
    <cfRule type="colorScale" priority="7">
      <colorScale>
        <cfvo type="min"/>
        <cfvo type="max"/>
        <color theme="6" tint="0.79998168889431442"/>
        <color theme="5" tint="0.39997558519241921"/>
      </colorScale>
    </cfRule>
  </conditionalFormatting>
  <conditionalFormatting sqref="B97:D97">
    <cfRule type="colorScale" priority="6">
      <colorScale>
        <cfvo type="min"/>
        <cfvo type="max"/>
        <color theme="6" tint="0.79998168889431442"/>
        <color theme="5" tint="0.39997558519241921"/>
      </colorScale>
    </cfRule>
  </conditionalFormatting>
  <conditionalFormatting sqref="C147:F147">
    <cfRule type="colorScale" priority="5">
      <colorScale>
        <cfvo type="min"/>
        <cfvo type="max"/>
        <color theme="6" tint="0.79998168889431442"/>
        <color theme="5" tint="0.39997558519241921"/>
      </colorScale>
    </cfRule>
  </conditionalFormatting>
  <conditionalFormatting sqref="C24:J24">
    <cfRule type="colorScale" priority="4">
      <colorScale>
        <cfvo type="min"/>
        <cfvo type="max"/>
        <color theme="6" tint="0.79998168889431442"/>
        <color theme="5" tint="0.39997558519241921"/>
      </colorScale>
    </cfRule>
  </conditionalFormatting>
  <conditionalFormatting sqref="K24">
    <cfRule type="colorScale" priority="3">
      <colorScale>
        <cfvo type="min"/>
        <cfvo type="max"/>
        <color theme="6" tint="0.79998168889431442"/>
        <color theme="5" tint="0.39997558519241921"/>
      </colorScale>
    </cfRule>
  </conditionalFormatting>
  <conditionalFormatting sqref="L24">
    <cfRule type="colorScale" priority="2">
      <colorScale>
        <cfvo type="min"/>
        <cfvo type="max"/>
        <color theme="6" tint="0.79998168889431442"/>
        <color theme="5" tint="0.39997558519241921"/>
      </colorScale>
    </cfRule>
  </conditionalFormatting>
  <conditionalFormatting sqref="C76:G76">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Z208"/>
  <sheetViews>
    <sheetView zoomScale="90" zoomScaleNormal="90" workbookViewId="0">
      <selection activeCell="F9" sqref="F9"/>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COUNTIFS('KEMBE_Cleaned Data'!N:N,"education",'KEMBE_Cleaned Data'!K:K,"KEMBE")</f>
        <v>6</v>
      </c>
    </row>
    <row r="5" spans="1:7" ht="15.5" x14ac:dyDescent="0.35">
      <c r="A5" s="29" t="s">
        <v>1933</v>
      </c>
    </row>
    <row r="6" spans="1:7" ht="42" x14ac:dyDescent="0.3">
      <c r="A6" s="3"/>
      <c r="B6" s="8" t="s">
        <v>1275</v>
      </c>
      <c r="C6" s="8" t="s">
        <v>1276</v>
      </c>
      <c r="D6" s="8" t="s">
        <v>1277</v>
      </c>
      <c r="E6" s="8" t="s">
        <v>3338</v>
      </c>
      <c r="F6" s="51" t="s">
        <v>3274</v>
      </c>
    </row>
    <row r="7" spans="1:7" x14ac:dyDescent="0.3">
      <c r="A7" s="3" t="s">
        <v>1207</v>
      </c>
      <c r="B7" s="4">
        <f>COUNTIF('KEMBE_Cleaned Data'!YK:ZT,"public")</f>
        <v>4</v>
      </c>
      <c r="C7" s="4">
        <f>COUNTIF('KEMBE_Cleaned Data'!ZT:ZT,"prive")</f>
        <v>0</v>
      </c>
      <c r="D7" s="4">
        <f>COUNTIF('KEMBE_Cleaned Data'!ZT:ZT,"religieux")</f>
        <v>2</v>
      </c>
      <c r="E7" s="4">
        <f>COUNTIF('KEMBE_Cleaned Data'!ZT:ZT,"communautaire")</f>
        <v>0</v>
      </c>
      <c r="F7" s="52">
        <f>SUM(B7:E7)</f>
        <v>6</v>
      </c>
    </row>
    <row r="8" spans="1:7" ht="26" x14ac:dyDescent="0.3">
      <c r="A8" s="53" t="s">
        <v>3273</v>
      </c>
      <c r="B8" s="7">
        <f>(B7/$B$3)</f>
        <v>0.66666666666666663</v>
      </c>
      <c r="C8" s="7">
        <f t="shared" ref="C8:D8" si="0">(C7/$B$3)</f>
        <v>0</v>
      </c>
      <c r="D8" s="7">
        <f t="shared" si="0"/>
        <v>0.33333333333333331</v>
      </c>
      <c r="E8" s="7">
        <f t="shared" ref="E8" si="1">(E7/$B$3)</f>
        <v>0</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COUNTIF('KEMBE_Cleaned Data'!ABE:ABE,"f1")</f>
        <v>4</v>
      </c>
      <c r="C12" s="4">
        <f>COUNTIF('KEMBE_Cleaned Data'!ABE:ABE,"f2")</f>
        <v>1</v>
      </c>
      <c r="D12" s="4">
        <f>COUNTIF('KEMBE_Cleaned Data'!ABE:ABE,"etp")</f>
        <v>0</v>
      </c>
      <c r="E12" s="4">
        <f>COUNTIF('KEMBE_Cleaned Data'!ABE:ABE,"coranique")</f>
        <v>1</v>
      </c>
      <c r="F12" s="4">
        <f>COUNTIF('KEMBE_Cleaned Data'!ABH:ABH,"autre")</f>
        <v>0</v>
      </c>
      <c r="G12" s="111">
        <f>SUM(B12:F12)</f>
        <v>6</v>
      </c>
    </row>
    <row r="13" spans="1:7" ht="26" x14ac:dyDescent="0.3">
      <c r="A13" s="53" t="s">
        <v>3273</v>
      </c>
      <c r="B13" s="7">
        <f>(B12/$B$3)</f>
        <v>0.66666666666666663</v>
      </c>
      <c r="C13" s="7">
        <f t="shared" ref="C13:F13" si="2">(C12/$B$3)</f>
        <v>0.16666666666666666</v>
      </c>
      <c r="D13" s="7">
        <f t="shared" si="2"/>
        <v>0</v>
      </c>
      <c r="E13" s="7">
        <f t="shared" si="2"/>
        <v>0.16666666666666666</v>
      </c>
      <c r="F13" s="7">
        <f t="shared" si="2"/>
        <v>0</v>
      </c>
      <c r="G13" s="116">
        <f>SUM(B13:F13)</f>
        <v>0.99999999999999989</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COUNTIF('KEMBE_Cleaned Data'!ZV:ZV,"durable")</f>
        <v>3</v>
      </c>
      <c r="C18" s="4">
        <f>COUNTIF('KEMBE_Cleaned Data'!ZV:ZV,"hangar")</f>
        <v>1</v>
      </c>
      <c r="D18" s="4">
        <f>COUNTIF('KEMBE_Cleaned Data'!ZV:ZV,"hangar_traditionnel")</f>
        <v>2</v>
      </c>
      <c r="E18" s="111">
        <f>SUM(B18:D18)</f>
        <v>6</v>
      </c>
    </row>
    <row r="19" spans="1:26" ht="26" x14ac:dyDescent="0.3">
      <c r="A19" s="53" t="s">
        <v>3273</v>
      </c>
      <c r="B19" s="7">
        <f>B18/$B$3</f>
        <v>0.5</v>
      </c>
      <c r="C19" s="7">
        <f t="shared" ref="C19:D19" si="3">C18/$B$3</f>
        <v>0.16666666666666666</v>
      </c>
      <c r="D19" s="7">
        <f t="shared" si="3"/>
        <v>0.33333333333333331</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COUNTIF('KEMBE_Cleaned Data'!ZX:ZX,"Oui")</f>
        <v>4</v>
      </c>
      <c r="C23" s="4">
        <f>COUNTIF('KEMBE_Cleaned Data'!ZX:ZX,"non")</f>
        <v>1</v>
      </c>
      <c r="D23" s="4">
        <f>COUNTIF('KEMBE_Cleaned Data'!ZX:ZX,"partiel")</f>
        <v>1</v>
      </c>
      <c r="E23" s="72">
        <f>B23+D23</f>
        <v>5</v>
      </c>
    </row>
    <row r="24" spans="1:26" ht="26" x14ac:dyDescent="0.3">
      <c r="A24" s="53" t="s">
        <v>3273</v>
      </c>
      <c r="B24" s="7">
        <f>B23/$B$3</f>
        <v>0.66666666666666663</v>
      </c>
      <c r="C24" s="7">
        <f t="shared" ref="C24:D24" si="4">C23/$B$3</f>
        <v>0.16666666666666666</v>
      </c>
      <c r="D24" s="7">
        <f t="shared" si="4"/>
        <v>0.16666666666666666</v>
      </c>
      <c r="E24" s="119">
        <f>B24+D24</f>
        <v>0.83333333333333326</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COUNTIF('KEMBE_Cleaned Data'!AAK:AAK,"1")</f>
        <v>0</v>
      </c>
      <c r="D28" s="3">
        <f>COUNTIF('KEMBE_Cleaned Data'!AAL:AAL,"1")</f>
        <v>0</v>
      </c>
      <c r="E28" s="3">
        <f>COUNTIF('KEMBE_Cleaned Data'!AAM:AAM,"1")</f>
        <v>0</v>
      </c>
      <c r="F28" s="3">
        <f>COUNTIF('KEMBE_Cleaned Data'!AAN:AAN,"1")</f>
        <v>0</v>
      </c>
      <c r="G28" s="3">
        <f>COUNTIF('KEMBE_Cleaned Data'!AAO:AAO,"1")</f>
        <v>0</v>
      </c>
      <c r="H28" s="3">
        <f>COUNTIF('KEMBE_Cleaned Data'!AAP:AAP,"1")</f>
        <v>1</v>
      </c>
      <c r="I28" s="3">
        <f>COUNTIF('KEMBE_Cleaned Data'!AAQ:AAQ,"1")</f>
        <v>0</v>
      </c>
      <c r="J28" s="3">
        <f>COUNTIF('KEMBE_Cleaned Data'!AAR:AAR,"1")</f>
        <v>0</v>
      </c>
      <c r="K28" s="3">
        <f>COUNTIF('KEMBE_Cleaned Data'!AAS:AAS,"1")</f>
        <v>0</v>
      </c>
    </row>
    <row r="29" spans="1:26" ht="37.5" x14ac:dyDescent="0.3">
      <c r="B29" s="53" t="s">
        <v>3275</v>
      </c>
      <c r="C29" s="7">
        <f>C28/$C$23</f>
        <v>0</v>
      </c>
      <c r="D29" s="7">
        <f t="shared" ref="D29:K29" si="5">D28/$C$23</f>
        <v>0</v>
      </c>
      <c r="E29" s="7">
        <f t="shared" si="5"/>
        <v>0</v>
      </c>
      <c r="F29" s="7">
        <f t="shared" si="5"/>
        <v>0</v>
      </c>
      <c r="G29" s="7">
        <f t="shared" si="5"/>
        <v>0</v>
      </c>
      <c r="H29" s="7">
        <f t="shared" si="5"/>
        <v>1</v>
      </c>
      <c r="I29" s="7">
        <f t="shared" si="5"/>
        <v>0</v>
      </c>
      <c r="J29" s="7">
        <f t="shared" si="5"/>
        <v>0</v>
      </c>
      <c r="K29" s="7">
        <f t="shared" si="5"/>
        <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COUNTIF('KEMBE_Cleaned Data'!AAU:AAU,"moins_six_mois")</f>
        <v>0</v>
      </c>
      <c r="D33" s="3">
        <f>COUNTIF('KEMBE_Cleaned Data'!AAU:AAU,"six_mois_un_an ")</f>
        <v>0</v>
      </c>
      <c r="E33" s="3">
        <f>COUNTIF('KEMBE_Cleaned Data'!AAU:AAU,"un_an_trois_ans")</f>
        <v>1</v>
      </c>
      <c r="F33" s="3">
        <f>COUNTIF('KEMBE_Cleaned Data'!AAU:AAU,"plus_trois_ans")</f>
        <v>0</v>
      </c>
      <c r="G33" s="3">
        <f>COUNTIF('KEMBE_Cleaned Data'!AAU:AAU,"nsp")</f>
        <v>0</v>
      </c>
      <c r="H33" s="111">
        <f>SUM(C33:G33)</f>
        <v>1</v>
      </c>
      <c r="I33" s="10"/>
      <c r="J33" s="10"/>
      <c r="K33" s="74"/>
      <c r="L33" s="10"/>
      <c r="M33" s="10"/>
      <c r="N33" s="10"/>
      <c r="O33" s="10"/>
      <c r="P33" s="10"/>
      <c r="Q33" s="10"/>
      <c r="R33" s="10"/>
      <c r="S33" s="10"/>
      <c r="T33" s="10"/>
      <c r="U33" s="10"/>
      <c r="V33" s="10"/>
      <c r="W33" s="10"/>
      <c r="X33" s="10"/>
      <c r="Y33" s="10"/>
      <c r="Z33" s="10"/>
    </row>
    <row r="34" spans="1:26" ht="37.5" x14ac:dyDescent="0.3">
      <c r="B34" s="53" t="s">
        <v>3275</v>
      </c>
      <c r="C34" s="7">
        <f>C33/$C$23</f>
        <v>0</v>
      </c>
      <c r="D34" s="7">
        <f t="shared" ref="D34:G34" si="6">D33/$C$23</f>
        <v>0</v>
      </c>
      <c r="E34" s="7">
        <f t="shared" si="6"/>
        <v>1</v>
      </c>
      <c r="F34" s="7">
        <f t="shared" si="6"/>
        <v>0</v>
      </c>
      <c r="G34" s="7">
        <f t="shared" si="6"/>
        <v>0</v>
      </c>
      <c r="H34" s="116">
        <f>SUM(C34:G34)</f>
        <v>1</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COUNTIF('KEMBE_Cleaned Data'!ZZ:ZZ,"1")</f>
        <v>1</v>
      </c>
      <c r="D38" s="3">
        <f>COUNTIF('KEMBE_Cleaned Data'!AAA:AAA,"1")</f>
        <v>0</v>
      </c>
      <c r="E38" s="3">
        <f>COUNTIF('KEMBE_Cleaned Data'!AAB:AAB,"1")</f>
        <v>0</v>
      </c>
      <c r="F38" s="3">
        <f>COUNTIF('KEMBE_Cleaned Data'!AAC:AAC,"1")</f>
        <v>0</v>
      </c>
      <c r="G38" s="3">
        <f>COUNTIF('KEMBE_Cleaned Data'!AAD:AAD,"1")</f>
        <v>0</v>
      </c>
      <c r="H38" s="3">
        <f>COUNTIF('KEMBE_Cleaned Data'!AAE:AAE,"1")</f>
        <v>0</v>
      </c>
      <c r="I38" s="3">
        <f>COUNTIF('KEMBE_Cleaned Data'!AAF:AAF,"1")</f>
        <v>0</v>
      </c>
      <c r="J38" s="3">
        <f>COUNTIF('KEMBE_Cleaned Data'!AAG:AAG,"1")</f>
        <v>0</v>
      </c>
    </row>
    <row r="39" spans="1:26" ht="49" x14ac:dyDescent="0.3">
      <c r="B39" s="53" t="s">
        <v>3276</v>
      </c>
      <c r="C39" s="7">
        <f>C38/$D$23</f>
        <v>1</v>
      </c>
      <c r="D39" s="7">
        <f t="shared" ref="D39:J39" si="7">D38/$D$23</f>
        <v>0</v>
      </c>
      <c r="E39" s="7">
        <f t="shared" si="7"/>
        <v>0</v>
      </c>
      <c r="F39" s="7">
        <f t="shared" si="7"/>
        <v>0</v>
      </c>
      <c r="G39" s="7">
        <f t="shared" si="7"/>
        <v>0</v>
      </c>
      <c r="H39" s="7">
        <f t="shared" si="7"/>
        <v>0</v>
      </c>
      <c r="I39" s="7">
        <f t="shared" si="7"/>
        <v>0</v>
      </c>
      <c r="J39" s="7">
        <f t="shared" si="7"/>
        <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COUNTIF('KEMBE_Cleaned Data'!AAI:AAI,"moins_six_mois")</f>
        <v>0</v>
      </c>
      <c r="D43" s="3">
        <f>COUNTIF('KEMBE_Cleaned Data'!AAI:AAI,"six_mois_un_an ")</f>
        <v>0</v>
      </c>
      <c r="E43" s="3">
        <f>COUNTIF('KEMBE_Cleaned Data'!AAI:AAI,"un_an_trois_ans")</f>
        <v>1</v>
      </c>
      <c r="F43" s="3">
        <f>COUNTIF('KEMBE_Cleaned Data'!AAI:AAI,"plus_trois_ans")</f>
        <v>0</v>
      </c>
      <c r="G43" s="3">
        <f>COUNTIF('KEMBE_Cleaned Data'!AAI:AAI,"nsp")</f>
        <v>0</v>
      </c>
      <c r="H43" s="111">
        <f>SUM(C43:G43)</f>
        <v>1</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f>C43/$D$23</f>
        <v>0</v>
      </c>
      <c r="D44" s="7">
        <f t="shared" ref="D44:G44" si="8">D43/$D$23</f>
        <v>0</v>
      </c>
      <c r="E44" s="7">
        <f t="shared" si="8"/>
        <v>1</v>
      </c>
      <c r="F44" s="7">
        <f t="shared" si="8"/>
        <v>0</v>
      </c>
      <c r="G44" s="7">
        <f t="shared" si="8"/>
        <v>0</v>
      </c>
      <c r="H44" s="116">
        <f>SUM(C44:G44)</f>
        <v>1</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COUNTIF('KEMBE_Cleaned Data'!AAW:AAW,"1")</f>
        <v>1</v>
      </c>
      <c r="C48" s="4">
        <f>COUNTIF('KEMBE_Cleaned Data'!AAX:AAX,"1")</f>
        <v>1</v>
      </c>
      <c r="D48" s="4">
        <f>COUNTIF('KEMBE_Cleaned Data'!AAY:AAY,"1")</f>
        <v>1</v>
      </c>
      <c r="E48" s="4">
        <f>COUNTIF('KEMBE_Cleaned Data'!AAZ:AAZ,"1")</f>
        <v>0</v>
      </c>
      <c r="F48" s="4">
        <f>COUNTIF('KEMBE_Cleaned Data'!ABA:ABA,"1")</f>
        <v>1</v>
      </c>
      <c r="G48" s="4">
        <f>COUNTIF('KEMBE_Cleaned Data'!ABB:ABB,"1")</f>
        <v>0</v>
      </c>
      <c r="H48" s="4">
        <f>COUNTIF('KEMBE_Cleaned Data'!ABC:ABC,"1")</f>
        <v>0</v>
      </c>
      <c r="J48" s="87"/>
    </row>
    <row r="49" spans="1:12" ht="40" customHeight="1" x14ac:dyDescent="0.3">
      <c r="A49" s="54" t="s">
        <v>1956</v>
      </c>
      <c r="B49" s="7">
        <f>B48/SUM(C28,C38)</f>
        <v>1</v>
      </c>
      <c r="C49" s="7">
        <f>C48/SUM(C28,C38)</f>
        <v>1</v>
      </c>
      <c r="D49" s="7">
        <f>D48/SUM(C28,C38)</f>
        <v>1</v>
      </c>
      <c r="E49" s="7">
        <f>E48/SUM(C28,C38)</f>
        <v>0</v>
      </c>
      <c r="F49" s="7">
        <f>F48/SUM(C28,C38)</f>
        <v>1</v>
      </c>
      <c r="G49" s="7">
        <f>G48/SUM(C28,C38)</f>
        <v>0</v>
      </c>
      <c r="H49" s="7">
        <f>H48/SUM(C28,C38)</f>
        <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COUNTIF('KEMBE_Cleaned Data'!ABM:ABM,"1")</f>
        <v>1</v>
      </c>
      <c r="C53" s="4">
        <f>COUNTIF('KEMBE_Cleaned Data'!ABN:ABN,"1")</f>
        <v>0</v>
      </c>
      <c r="D53" s="4">
        <f>COUNTIF('KEMBE_Cleaned Data'!ABO:ABO,"1")</f>
        <v>1</v>
      </c>
      <c r="E53" s="4">
        <f>COUNTIF('KEMBE_Cleaned Data'!ABP:ABP,"1")</f>
        <v>0</v>
      </c>
      <c r="F53" s="4">
        <f>COUNTIF('KEMBE_Cleaned Data'!ABQ:ABQ,"1")</f>
        <v>0</v>
      </c>
      <c r="G53" s="4">
        <f>COUNTIF('KEMBE_Cleaned Data'!ABR:ABR,"1")</f>
        <v>0</v>
      </c>
      <c r="H53" s="4">
        <f>COUNTIF('KEMBE_Cleaned Data'!ABX:ABX,"1")</f>
        <v>3</v>
      </c>
      <c r="I53" s="4">
        <f>COUNTIF('KEMBE_Cleaned Data'!ABT:ABT,"1")</f>
        <v>0</v>
      </c>
      <c r="J53" s="4">
        <f>COUNTIF('KEMBE_Cleaned Data'!ABU:ABU,"1")</f>
        <v>2</v>
      </c>
      <c r="K53" s="4">
        <f>COUNTIF('KEMBE_Cleaned Data'!ABV:ABV,"1")</f>
        <v>0</v>
      </c>
      <c r="L53" s="4">
        <f>COUNTIF('KEMBE_Cleaned Data'!ABW:ABW,"1")</f>
        <v>0</v>
      </c>
    </row>
    <row r="54" spans="1:12" ht="26" x14ac:dyDescent="0.3">
      <c r="A54" s="53" t="s">
        <v>3273</v>
      </c>
      <c r="B54" s="7">
        <f>B53/$B$3</f>
        <v>0.16666666666666666</v>
      </c>
      <c r="C54" s="7">
        <f t="shared" ref="C54:L54" si="9">C53/$B$3</f>
        <v>0</v>
      </c>
      <c r="D54" s="7">
        <f t="shared" si="9"/>
        <v>0.16666666666666666</v>
      </c>
      <c r="E54" s="7">
        <f t="shared" si="9"/>
        <v>0</v>
      </c>
      <c r="F54" s="7">
        <f t="shared" si="9"/>
        <v>0</v>
      </c>
      <c r="G54" s="7">
        <f t="shared" si="9"/>
        <v>0</v>
      </c>
      <c r="H54" s="7">
        <f t="shared" si="9"/>
        <v>0.5</v>
      </c>
      <c r="I54" s="7">
        <f t="shared" si="9"/>
        <v>0</v>
      </c>
      <c r="J54" s="7">
        <f t="shared" si="9"/>
        <v>0.33333333333333331</v>
      </c>
      <c r="K54" s="7">
        <f t="shared" si="9"/>
        <v>0</v>
      </c>
      <c r="L54" s="7">
        <f t="shared" si="9"/>
        <v>0</v>
      </c>
    </row>
    <row r="55" spans="1:12" x14ac:dyDescent="0.3">
      <c r="A55" s="65"/>
      <c r="J55" s="74" t="s">
        <v>3277</v>
      </c>
    </row>
    <row r="56" spans="1:12" x14ac:dyDescent="0.3">
      <c r="A56" s="18" t="s">
        <v>1286</v>
      </c>
    </row>
    <row r="57" spans="1:12" x14ac:dyDescent="0.3">
      <c r="A57" s="3"/>
      <c r="B57" s="8" t="s">
        <v>1210</v>
      </c>
      <c r="C57" s="8" t="s">
        <v>1209</v>
      </c>
      <c r="D57" s="114" t="s">
        <v>1206</v>
      </c>
    </row>
    <row r="58" spans="1:12" x14ac:dyDescent="0.3">
      <c r="A58" s="3" t="s">
        <v>1207</v>
      </c>
      <c r="B58" s="4">
        <f>COUNTIF('KEMBE_Cleaned Data'!ACA:ACA,"Oui")</f>
        <v>4</v>
      </c>
      <c r="C58" s="4">
        <f>COUNTIF('KEMBE_Cleaned Data'!ACA:ACA,"non")</f>
        <v>2</v>
      </c>
      <c r="D58" s="111">
        <f>SUM(B58:C58)</f>
        <v>6</v>
      </c>
    </row>
    <row r="59" spans="1:12" ht="26" x14ac:dyDescent="0.3">
      <c r="A59" s="53" t="s">
        <v>3273</v>
      </c>
      <c r="B59" s="7">
        <f>B58/$B$3</f>
        <v>0.66666666666666663</v>
      </c>
      <c r="C59" s="7">
        <f>C58/$B$3</f>
        <v>0.33333333333333331</v>
      </c>
      <c r="D59" s="116">
        <f>SUM(B59:C59)</f>
        <v>1</v>
      </c>
    </row>
    <row r="61" spans="1:12" x14ac:dyDescent="0.3">
      <c r="B61" s="18" t="s">
        <v>1287</v>
      </c>
    </row>
    <row r="62" spans="1:12" x14ac:dyDescent="0.3">
      <c r="B62" s="21">
        <f>AVERAGE('KEMBE_Cleaned Data'!ACB:ACB)</f>
        <v>2.5</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COUNTIF('KEMBE_Cleaned Data'!ACC:ACC,"Oui")</f>
        <v>1</v>
      </c>
      <c r="D66" s="4">
        <f>COUNTIF('KEMBE_Cleaned Data'!ACC:ACC,"non")</f>
        <v>3</v>
      </c>
      <c r="E66" s="111">
        <f>SUM(C66:D66)</f>
        <v>4</v>
      </c>
    </row>
    <row r="67" spans="1:5" ht="49" x14ac:dyDescent="0.3">
      <c r="B67" s="53" t="s">
        <v>3278</v>
      </c>
      <c r="C67" s="7">
        <f>C66/$B$58</f>
        <v>0.25</v>
      </c>
      <c r="D67" s="7">
        <f>D66/$B$58</f>
        <v>0.75</v>
      </c>
      <c r="E67" s="116">
        <f>SUM(C67:D67)</f>
        <v>1</v>
      </c>
    </row>
    <row r="68" spans="1:5" x14ac:dyDescent="0.3">
      <c r="B68" s="14"/>
      <c r="C68" s="15"/>
      <c r="D68" s="15"/>
    </row>
    <row r="69" spans="1:5" x14ac:dyDescent="0.3">
      <c r="C69" s="18" t="s">
        <v>1289</v>
      </c>
    </row>
    <row r="70" spans="1:5" x14ac:dyDescent="0.3">
      <c r="C70" s="21">
        <f>AVERAGE('KEMBE_Cleaned Data'!ACD:ACD)</f>
        <v>1</v>
      </c>
    </row>
    <row r="71" spans="1:5" x14ac:dyDescent="0.3">
      <c r="C71" s="18" t="s">
        <v>1290</v>
      </c>
    </row>
    <row r="72" spans="1:5" x14ac:dyDescent="0.3">
      <c r="C72" s="21">
        <f>AVERAGE('KEMBE_Cleaned Data'!ACF:ACF)</f>
        <v>1</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COUNTIF('KEMBE_Cleaned Data'!ACI:ACI,"Oui")</f>
        <v>2</v>
      </c>
      <c r="D76" s="4">
        <f>COUNTIF('KEMBE_Cleaned Data'!ACI:ACI,"non")</f>
        <v>2</v>
      </c>
      <c r="E76" s="111">
        <f>SUM(C76:D76)</f>
        <v>4</v>
      </c>
    </row>
    <row r="77" spans="1:5" ht="49" x14ac:dyDescent="0.3">
      <c r="B77" s="53" t="s">
        <v>3278</v>
      </c>
      <c r="C77" s="7">
        <f>C76/$B$58</f>
        <v>0.5</v>
      </c>
      <c r="D77" s="7">
        <f>D76/$B$58</f>
        <v>0.5</v>
      </c>
      <c r="E77" s="116">
        <f>SUM(C77:D77)</f>
        <v>1</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COUNTIF('KEMBE_Cleaned Data'!ACJ:ACJ,"Oui")</f>
        <v>0</v>
      </c>
      <c r="C81" s="4">
        <f>COUNTIF('KEMBE_Cleaned Data'!ACJ:ACJ,"non")</f>
        <v>6</v>
      </c>
      <c r="D81" s="111">
        <f>SUM(B81:C81)</f>
        <v>6</v>
      </c>
    </row>
    <row r="82" spans="1:12" ht="26" x14ac:dyDescent="0.3">
      <c r="A82" s="53" t="s">
        <v>3273</v>
      </c>
      <c r="B82" s="7">
        <f>B81/$B$3</f>
        <v>0</v>
      </c>
      <c r="C82" s="7">
        <f>C81/$B$3</f>
        <v>1</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COUNTIF('KEMBE_Cleaned Data'!ACK:ACK,"fontaine")</f>
        <v>0</v>
      </c>
      <c r="D86" s="4">
        <f>COUNTIF('KEMBE_Cleaned Data'!ACK:ACK,"pompe_main")</f>
        <v>0</v>
      </c>
      <c r="E86" s="4">
        <f>COUNTIF('KEMBE_Cleaned Data'!ACK:ACK,"pompe_pied")</f>
        <v>0</v>
      </c>
      <c r="F86" s="4">
        <f>COUNTIF('KEMBE_Cleaned Data'!ACK:ACK,"puits_protege")</f>
        <v>0</v>
      </c>
      <c r="G86" s="4">
        <f>COUNTIF('KEMBE_Cleaned Data'!ACK:ACK,"puits_non_protege")</f>
        <v>0</v>
      </c>
      <c r="H86" s="4">
        <f>COUNTIF('KEMBE_Cleaned Data'!ACK:ACK,"source_amenagee")</f>
        <v>0</v>
      </c>
      <c r="I86" s="4">
        <f>COUNTIF('KEMBE_Cleaned Data'!ACK:ACK,"source_non_amenagee")</f>
        <v>0</v>
      </c>
      <c r="J86" s="4">
        <f>COUNTIF('KEMBE_Cleaned Data'!ACK:ACK,"camion")</f>
        <v>0</v>
      </c>
      <c r="K86" s="4">
        <f>COUNTIF('KEMBE_Cleaned Data'!ACK:ACK,"autre")</f>
        <v>0</v>
      </c>
      <c r="L86" s="111">
        <f>SUM(C86:K86)</f>
        <v>0</v>
      </c>
    </row>
    <row r="87" spans="1:12" ht="49" x14ac:dyDescent="0.3">
      <c r="A87" s="14"/>
      <c r="B87" s="53" t="s">
        <v>3279</v>
      </c>
      <c r="C87" s="7" t="e">
        <f>C86/$B$81</f>
        <v>#DIV/0!</v>
      </c>
      <c r="D87" s="7" t="e">
        <f t="shared" ref="D87:K87" si="10">D86/$B$81</f>
        <v>#DIV/0!</v>
      </c>
      <c r="E87" s="7" t="e">
        <f t="shared" si="10"/>
        <v>#DIV/0!</v>
      </c>
      <c r="F87" s="7" t="e">
        <f t="shared" si="10"/>
        <v>#DIV/0!</v>
      </c>
      <c r="G87" s="7" t="e">
        <f t="shared" si="10"/>
        <v>#DIV/0!</v>
      </c>
      <c r="H87" s="7" t="e">
        <f t="shared" si="10"/>
        <v>#DIV/0!</v>
      </c>
      <c r="I87" s="7" t="e">
        <f t="shared" si="10"/>
        <v>#DIV/0!</v>
      </c>
      <c r="J87" s="7" t="e">
        <f t="shared" si="10"/>
        <v>#DIV/0!</v>
      </c>
      <c r="K87" s="7" t="e">
        <f t="shared" si="10"/>
        <v>#DIV/0!</v>
      </c>
      <c r="L87" s="116" t="e">
        <f>SUM(C87:K87)</f>
        <v>#DIV/0!</v>
      </c>
    </row>
    <row r="89" spans="1:12" x14ac:dyDescent="0.3">
      <c r="A89" s="21" t="s">
        <v>1302</v>
      </c>
    </row>
    <row r="90" spans="1:12" ht="15.5" x14ac:dyDescent="0.35">
      <c r="A90" s="67" t="s">
        <v>1964</v>
      </c>
      <c r="E90" s="29" t="s">
        <v>1963</v>
      </c>
    </row>
    <row r="91" spans="1:12" x14ac:dyDescent="0.3">
      <c r="A91" s="66">
        <f>AVERAGE('KEMBE_Cleaned Data'!ABZ:ABZ)</f>
        <v>4.333333333333333</v>
      </c>
      <c r="E91" s="19">
        <f>AVERAGE('KEMBE_Cleaned Data'!ACN:ACN)</f>
        <v>391.4</v>
      </c>
    </row>
    <row r="92" spans="1:12" x14ac:dyDescent="0.3">
      <c r="A92" s="66"/>
    </row>
    <row r="93" spans="1:12" x14ac:dyDescent="0.3">
      <c r="A93" s="66"/>
      <c r="D93" s="70">
        <f>E91/A91</f>
        <v>90.323076923076925</v>
      </c>
      <c r="E93" s="68" t="s">
        <v>1965</v>
      </c>
    </row>
    <row r="94" spans="1:12" x14ac:dyDescent="0.3">
      <c r="A94" s="66"/>
    </row>
    <row r="95" spans="1:12" ht="15.5" x14ac:dyDescent="0.35">
      <c r="A95" s="18" t="s">
        <v>1967</v>
      </c>
      <c r="E95" s="29" t="s">
        <v>1966</v>
      </c>
    </row>
    <row r="96" spans="1:12" x14ac:dyDescent="0.3">
      <c r="A96" s="69">
        <f>AVERAGEIF('KEMBE_Cleaned Data'!ZT:ZT,"public", 'KEMBE_Cleaned Data'!ABZ:ABZ)</f>
        <v>5.75</v>
      </c>
      <c r="E96" s="19">
        <f>AVERAGEIF('KEMBE_Cleaned Data'!ZT:ZT,"public",'KEMBE_Cleaned Data'!ACN:ACN)</f>
        <v>465.5</v>
      </c>
    </row>
    <row r="98" spans="1:7" x14ac:dyDescent="0.3">
      <c r="D98" s="70">
        <f>E96/A96</f>
        <v>80.956521739130437</v>
      </c>
      <c r="E98" s="68" t="s">
        <v>1965</v>
      </c>
    </row>
    <row r="100" spans="1:7" ht="15.5" x14ac:dyDescent="0.35">
      <c r="A100" s="18" t="s">
        <v>1969</v>
      </c>
      <c r="E100" s="18"/>
    </row>
    <row r="101" spans="1:7" x14ac:dyDescent="0.3">
      <c r="A101" s="93">
        <f>AVERAGE('KEMBE_Cleaned Data'!ACO:ACO)</f>
        <v>181.6</v>
      </c>
      <c r="E101" s="18"/>
    </row>
    <row r="102" spans="1:7" ht="15.5" x14ac:dyDescent="0.35">
      <c r="A102" s="29" t="s">
        <v>1968</v>
      </c>
      <c r="E102" s="18"/>
    </row>
    <row r="103" spans="1:7" x14ac:dyDescent="0.3">
      <c r="A103" s="93">
        <f>AVERAGE('KEMBE_Cleaned Data'!ACQ:ACQ)</f>
        <v>209.8</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COUNTIF('KEMBE_Cleaned Data'!ACV:ACV,"Oui")</f>
        <v>4</v>
      </c>
      <c r="C107" s="4">
        <f>COUNTIF('KEMBE_Cleaned Data'!ACV:ACV,"non")</f>
        <v>0</v>
      </c>
      <c r="D107" s="4">
        <f>COUNTIF('KEMBE_Cleaned Data'!ACV:ACV,"nsp")</f>
        <v>1</v>
      </c>
      <c r="E107" s="111">
        <f>SUM(B107:D107)</f>
        <v>5</v>
      </c>
    </row>
    <row r="108" spans="1:7" ht="37.5" x14ac:dyDescent="0.3">
      <c r="A108" s="53" t="s">
        <v>3280</v>
      </c>
      <c r="B108" s="7">
        <f>B107/$E$23</f>
        <v>0.8</v>
      </c>
      <c r="C108" s="7">
        <f>C107/$E$23</f>
        <v>0</v>
      </c>
      <c r="D108" s="7">
        <f>D107/$E$23</f>
        <v>0.2</v>
      </c>
      <c r="E108" s="116">
        <f>SUM(B108:D108)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COUNTIF('KEMBE_Cleaned Data'!ACW:ACW,"peu_diminue")</f>
        <v>0</v>
      </c>
      <c r="D112" s="24">
        <f>COUNTIF('KEMBE_Cleaned Data'!ACW:ACW,"bcp_diminue")</f>
        <v>2</v>
      </c>
      <c r="E112" s="24">
        <f>COUNTIF('KEMBE_Cleaned Data'!ACW:ACW,"peu_augmente")</f>
        <v>0</v>
      </c>
      <c r="F112" s="24">
        <f>COUNTIF('KEMBE_Cleaned Data'!ACW:ACW,"bcp_augmente")</f>
        <v>2</v>
      </c>
      <c r="G112" s="111">
        <f>SUM(C112:F112)</f>
        <v>4</v>
      </c>
    </row>
    <row r="113" spans="1:10" ht="49" x14ac:dyDescent="0.3">
      <c r="B113" s="53" t="s">
        <v>3281</v>
      </c>
      <c r="C113" s="7">
        <f>C112/$B$107</f>
        <v>0</v>
      </c>
      <c r="D113" s="7">
        <f t="shared" ref="D113:F113" si="11">D112/$B$107</f>
        <v>0.5</v>
      </c>
      <c r="E113" s="7">
        <f t="shared" si="11"/>
        <v>0</v>
      </c>
      <c r="F113" s="7">
        <f t="shared" si="11"/>
        <v>0.5</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COUNTIF('KEMBE_Cleaned Data'!ACY:ACY,"1")</f>
        <v>0</v>
      </c>
      <c r="D117" s="24">
        <f>COUNTIF('KEMBE_Cleaned Data'!ACZ:ACZ,"1")</f>
        <v>0</v>
      </c>
      <c r="E117" s="24">
        <f>COUNTIF('KEMBE_Cleaned Data'!ADA:ADA,"1")</f>
        <v>0</v>
      </c>
      <c r="F117" s="24">
        <f>COUNTIF('KEMBE_Cleaned Data'!ADB:ADB,"1")</f>
        <v>2</v>
      </c>
      <c r="G117" s="24">
        <f>COUNTIF('KEMBE_Cleaned Data'!ADE:ADE,"1")</f>
        <v>0</v>
      </c>
      <c r="H117" s="24">
        <f>COUNTIF('KEMBE_Cleaned Data'!ADC:ADC,"1")</f>
        <v>0</v>
      </c>
      <c r="I117" s="24">
        <f>COUNTIF('KEMBE_Cleaned Data'!ADD:ADD,"1")</f>
        <v>0</v>
      </c>
    </row>
    <row r="118" spans="1:10" ht="49" x14ac:dyDescent="0.3">
      <c r="B118" s="53" t="s">
        <v>3282</v>
      </c>
      <c r="C118" s="7">
        <f>C117/SUM(E112,F112)</f>
        <v>0</v>
      </c>
      <c r="D118" s="7">
        <f>D117/SUM(E112,F112)</f>
        <v>0</v>
      </c>
      <c r="E118" s="7">
        <f>E117/SUM(E112,F112)</f>
        <v>0</v>
      </c>
      <c r="F118" s="7">
        <f>F117/SUM(E112,F112)</f>
        <v>1</v>
      </c>
      <c r="G118" s="7">
        <f>G117/SUM(E112,F112)</f>
        <v>0</v>
      </c>
      <c r="H118" s="7">
        <f>H117/SUM(E112,F112)</f>
        <v>0</v>
      </c>
      <c r="I118" s="7">
        <f>I117/SUM(F112,G112)</f>
        <v>0</v>
      </c>
    </row>
    <row r="119" spans="1:10" x14ac:dyDescent="0.3">
      <c r="B119" s="50"/>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COUNTIF('KEMBE_Cleaned Data'!ADH:ADH,"1")</f>
        <v>0</v>
      </c>
      <c r="D122" s="24">
        <f>COUNTIF('KEMBE_Cleaned Data'!ADI:ADI,"1")</f>
        <v>0</v>
      </c>
      <c r="E122" s="24">
        <f>COUNTIF('KEMBE_Cleaned Data'!ADJ:ADJ,"1")</f>
        <v>1</v>
      </c>
      <c r="F122" s="24">
        <f>COUNTIF('KEMBE_Cleaned Data'!ADK:ADK,"1")</f>
        <v>1</v>
      </c>
      <c r="G122" s="24">
        <f>COUNTIF('KEMBE_Cleaned Data'!ADL:ADL,"1")</f>
        <v>1</v>
      </c>
      <c r="H122" s="24">
        <f>COUNTIF('KEMBE_Cleaned Data'!ADO:ADO,"1")</f>
        <v>2</v>
      </c>
      <c r="I122" s="24">
        <f>COUNTIF('KEMBE_Cleaned Data'!ADM:ADM,"1")</f>
        <v>0</v>
      </c>
      <c r="J122" s="24">
        <f>COUNTIF('KEMBE_Cleaned Data'!ADN:ADN,"1")</f>
        <v>0</v>
      </c>
    </row>
    <row r="123" spans="1:10" ht="49" x14ac:dyDescent="0.3">
      <c r="B123" s="53" t="s">
        <v>3283</v>
      </c>
      <c r="C123" s="7">
        <f>C122/SUM(C112,D112)</f>
        <v>0</v>
      </c>
      <c r="D123" s="7">
        <f>D122/SUM(C112,D112)</f>
        <v>0</v>
      </c>
      <c r="E123" s="7">
        <f>E122/SUM(C112,D112)</f>
        <v>0.5</v>
      </c>
      <c r="F123" s="7">
        <f>F122/SUM(C112,D112)</f>
        <v>0.5</v>
      </c>
      <c r="G123" s="7">
        <f>G122/SUM(C112,D112)</f>
        <v>0.5</v>
      </c>
      <c r="H123" s="7">
        <f>H122/SUM(C112,D112)</f>
        <v>1</v>
      </c>
      <c r="I123" s="7">
        <f>I122/SUM(C112,D112)</f>
        <v>0</v>
      </c>
      <c r="J123" s="7">
        <f>J122/SUM(C112,D112)</f>
        <v>0</v>
      </c>
    </row>
    <row r="125" spans="1:10" x14ac:dyDescent="0.3">
      <c r="A125" s="18" t="s">
        <v>1323</v>
      </c>
    </row>
    <row r="126" spans="1:10" x14ac:dyDescent="0.3">
      <c r="A126" s="28">
        <f>AVERAGE('KEMBE_Cleaned Data'!ADQ:ADQ)</f>
        <v>0.8</v>
      </c>
    </row>
    <row r="127" spans="1:10" x14ac:dyDescent="0.3">
      <c r="A127" s="28"/>
    </row>
    <row r="128" spans="1:10" x14ac:dyDescent="0.3">
      <c r="A128" s="18" t="s">
        <v>1319</v>
      </c>
    </row>
    <row r="129" spans="1:5" x14ac:dyDescent="0.3">
      <c r="A129" s="28">
        <f>AVERAGE('KEMBE_Cleaned Data'!AEO:AEO)</f>
        <v>0</v>
      </c>
    </row>
    <row r="130" spans="1:5" x14ac:dyDescent="0.3">
      <c r="A130" s="27"/>
    </row>
    <row r="131" spans="1:5" x14ac:dyDescent="0.3">
      <c r="A131" s="18" t="s">
        <v>1320</v>
      </c>
    </row>
    <row r="132" spans="1:5" x14ac:dyDescent="0.3">
      <c r="A132" s="19">
        <f>AVERAGE('KEMBE_Cleaned Data'!AFL:AFL)</f>
        <v>5.4</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COUNTIF('KEMBE_Cleaned Data'!AGH:AGH,"Oui")</f>
        <v>0</v>
      </c>
      <c r="C136" s="24">
        <f>COUNTIF('KEMBE_Cleaned Data'!AGH:AGH,"oui_rc")</f>
        <v>0</v>
      </c>
      <c r="D136" s="24">
        <f>COUNTIF('KEMBE_Cleaned Data'!AGH:AGH,"non_rc")</f>
        <v>5</v>
      </c>
      <c r="E136" s="111">
        <f>SUM(B136:D136)</f>
        <v>5</v>
      </c>
    </row>
    <row r="137" spans="1:5" ht="37.5" x14ac:dyDescent="0.3">
      <c r="A137" s="53" t="s">
        <v>1974</v>
      </c>
      <c r="B137" s="7">
        <f>B136/$E$23</f>
        <v>0</v>
      </c>
      <c r="C137" s="7">
        <f t="shared" ref="C137:D137" si="12">C136/$E$23</f>
        <v>0</v>
      </c>
      <c r="D137" s="7">
        <f t="shared" si="12"/>
        <v>1</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COUNTIF('KEMBE_Cleaned Data'!AGI:AGI,"Oui")</f>
        <v>0</v>
      </c>
      <c r="C141" s="24">
        <f>COUNTIF('KEMBE_Cleaned Data'!AGI:AGI,"oui_rc")</f>
        <v>2</v>
      </c>
      <c r="D141" s="24">
        <f>COUNTIF('KEMBE_Cleaned Data'!AGI:AGI,"non_rc")</f>
        <v>3</v>
      </c>
      <c r="E141" s="111">
        <f>SUM(B141:D141)</f>
        <v>5</v>
      </c>
    </row>
    <row r="142" spans="1:5" ht="37.5" x14ac:dyDescent="0.3">
      <c r="A142" s="53" t="s">
        <v>3284</v>
      </c>
      <c r="B142" s="7">
        <f>B141/$E$23</f>
        <v>0</v>
      </c>
      <c r="C142" s="7">
        <f t="shared" ref="C142:D142" si="13">C141/$E$23</f>
        <v>0.4</v>
      </c>
      <c r="D142" s="7">
        <f t="shared" si="13"/>
        <v>0.6</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COUNTIF('KEMBE_Cleaned Data'!ACM:ACM,"Oui")</f>
        <v>0</v>
      </c>
      <c r="C148" s="24">
        <f>COUNTIF('KEMBE_Cleaned Data'!ACM:ACM,"non")</f>
        <v>5</v>
      </c>
      <c r="D148" s="24">
        <f>COUNTIF('KEMBE_Cleaned Data'!ACM:ACM,"difficilement")</f>
        <v>0</v>
      </c>
      <c r="E148" s="111">
        <f>SUM(B148:D148)</f>
        <v>5</v>
      </c>
    </row>
    <row r="149" spans="1:8" s="36" customFormat="1" ht="39" customHeight="1" x14ac:dyDescent="0.3">
      <c r="A149" s="53" t="s">
        <v>3284</v>
      </c>
      <c r="B149" s="55">
        <f>B148/$E$23</f>
        <v>0</v>
      </c>
      <c r="C149" s="55">
        <f>C148/$E$23</f>
        <v>1</v>
      </c>
      <c r="D149" s="55">
        <f>D148/$E$23</f>
        <v>0</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COUNTIF('KEMBE_Cleaned Data'!AGJ:AGJ,"Oui")</f>
        <v>1</v>
      </c>
      <c r="C153" s="24">
        <f>COUNTIF('KEMBE_Cleaned Data'!AGJ:AGJ,"non")</f>
        <v>4</v>
      </c>
      <c r="D153" s="111">
        <f>SUM(B153:C153)</f>
        <v>5</v>
      </c>
    </row>
    <row r="154" spans="1:8" s="36" customFormat="1" ht="37.5" x14ac:dyDescent="0.3">
      <c r="A154" s="53" t="s">
        <v>3284</v>
      </c>
      <c r="B154" s="55">
        <f>B153/$E$23</f>
        <v>0.2</v>
      </c>
      <c r="C154" s="55">
        <f>C153/$E$23</f>
        <v>0.8</v>
      </c>
      <c r="D154" s="7">
        <f>SUM(B154:C154)</f>
        <v>1</v>
      </c>
    </row>
    <row r="155" spans="1:8" x14ac:dyDescent="0.3">
      <c r="A155" s="14"/>
      <c r="B155" s="15"/>
      <c r="C155" s="15"/>
    </row>
    <row r="156" spans="1:8" x14ac:dyDescent="0.3">
      <c r="A156" s="34" t="s">
        <v>2838</v>
      </c>
      <c r="B156" s="15"/>
      <c r="C156" s="15"/>
      <c r="E156" s="18" t="s">
        <v>1977</v>
      </c>
    </row>
    <row r="157" spans="1:8" x14ac:dyDescent="0.3">
      <c r="A157" s="32">
        <f>AVERAGE('KEMBE_Cleaned Data'!AGK15)</f>
        <v>1500</v>
      </c>
      <c r="B157" s="33" t="s">
        <v>1325</v>
      </c>
      <c r="C157" s="15"/>
      <c r="E157" s="3"/>
      <c r="F157" s="11" t="s">
        <v>1210</v>
      </c>
      <c r="G157" s="11" t="s">
        <v>1209</v>
      </c>
      <c r="H157" s="114" t="s">
        <v>1206</v>
      </c>
    </row>
    <row r="158" spans="1:8" x14ac:dyDescent="0.3">
      <c r="A158" s="32"/>
      <c r="B158" s="33"/>
      <c r="C158" s="15"/>
      <c r="E158" s="3" t="s">
        <v>1207</v>
      </c>
      <c r="F158" s="24">
        <f>COUNTIF('KEMBE_Cleaned Data'!AGT:AGT,"Oui")</f>
        <v>0</v>
      </c>
      <c r="G158" s="24">
        <f>COUNTIF('KEMBE_Cleaned Data'!AGT:AGT,"non")</f>
        <v>1</v>
      </c>
      <c r="H158" s="111">
        <f>SUM(F158:G158)</f>
        <v>1</v>
      </c>
    </row>
    <row r="159" spans="1:8" ht="26" x14ac:dyDescent="0.3">
      <c r="A159" s="34" t="s">
        <v>2839</v>
      </c>
      <c r="B159" s="33"/>
      <c r="C159" s="15"/>
      <c r="E159" s="53" t="s">
        <v>3285</v>
      </c>
      <c r="F159" s="7">
        <f>F158/$B$153</f>
        <v>0</v>
      </c>
      <c r="G159" s="7">
        <f>G158/$B$153</f>
        <v>1</v>
      </c>
      <c r="H159" s="7">
        <f>SUM(F159:G159)</f>
        <v>1</v>
      </c>
    </row>
    <row r="160" spans="1:8" x14ac:dyDescent="0.3">
      <c r="A160" s="131" t="s">
        <v>2044</v>
      </c>
      <c r="B160" s="33"/>
      <c r="C160" s="15"/>
    </row>
    <row r="161" spans="1:13" x14ac:dyDescent="0.3">
      <c r="A161" s="32"/>
      <c r="B161" s="33"/>
      <c r="C161" s="15"/>
    </row>
    <row r="162" spans="1:13" x14ac:dyDescent="0.3">
      <c r="A162" s="17" t="s">
        <v>1326</v>
      </c>
      <c r="B162" s="33"/>
      <c r="C162" s="103" t="s">
        <v>3245</v>
      </c>
    </row>
    <row r="163" spans="1:13" s="36" customFormat="1" ht="59.5" customHeight="1" x14ac:dyDescent="0.35">
      <c r="A163" s="8" t="s">
        <v>1327</v>
      </c>
      <c r="B163" s="8" t="s">
        <v>1328</v>
      </c>
      <c r="C163" s="8" t="s">
        <v>1329</v>
      </c>
      <c r="D163" s="8" t="s">
        <v>1330</v>
      </c>
      <c r="E163" s="8" t="s">
        <v>1905</v>
      </c>
      <c r="F163" s="8" t="s">
        <v>1205</v>
      </c>
    </row>
    <row r="164" spans="1:13" x14ac:dyDescent="0.3">
      <c r="A164" s="3">
        <f>COUNTIF('KEMBE_Cleaned Data'!AGM:AGM,"1")</f>
        <v>1</v>
      </c>
      <c r="B164" s="3">
        <f>COUNTIF('KEMBE_Cleaned Data'!AGN:AGN,"1")</f>
        <v>1</v>
      </c>
      <c r="C164" s="3">
        <f>COUNTIF('KEMBE_Cleaned Data'!AGO:AGO,"1")</f>
        <v>0</v>
      </c>
      <c r="D164" s="3">
        <f>COUNTIF('KEMBE_Cleaned Data'!AGP:AGP,"1")</f>
        <v>0</v>
      </c>
      <c r="E164" s="3">
        <f>COUNTIF('KEMBE_Cleaned Data'!AGQ:AGQ,"1")</f>
        <v>0</v>
      </c>
      <c r="F164" s="3">
        <f>COUNTIF('KEMBE_Cleaned Data'!AGR:AGR,"1")</f>
        <v>0</v>
      </c>
    </row>
    <row r="165" spans="1:13" x14ac:dyDescent="0.3">
      <c r="A165" s="14"/>
      <c r="B165" s="14"/>
      <c r="C165" s="14"/>
      <c r="D165" s="14"/>
      <c r="E165" s="14"/>
      <c r="F165" s="14"/>
    </row>
    <row r="166" spans="1:13" x14ac:dyDescent="0.3">
      <c r="A166" s="18" t="s">
        <v>1331</v>
      </c>
      <c r="C166" s="103" t="s">
        <v>3245</v>
      </c>
    </row>
    <row r="167" spans="1:13" x14ac:dyDescent="0.3">
      <c r="A167" s="3"/>
      <c r="B167" s="8" t="s">
        <v>1250</v>
      </c>
      <c r="C167" s="8" t="s">
        <v>1251</v>
      </c>
      <c r="D167" s="35" t="s">
        <v>1905</v>
      </c>
      <c r="E167" s="8" t="s">
        <v>1205</v>
      </c>
      <c r="F167" s="8" t="s">
        <v>1252</v>
      </c>
    </row>
    <row r="168" spans="1:13" x14ac:dyDescent="0.3">
      <c r="A168" s="3" t="s">
        <v>1207</v>
      </c>
      <c r="B168" s="3">
        <f>COUNTIF('KEMBE_Cleaned Data'!AHR:AHR,"1")</f>
        <v>1</v>
      </c>
      <c r="C168" s="3">
        <f>COUNTIF('KEMBE_Cleaned Data'!AHS:AHS,"1")</f>
        <v>0</v>
      </c>
      <c r="D168" s="3">
        <f>COUNTIF('KEMBE_Cleaned Data'!AHT:AHT,"1")</f>
        <v>0</v>
      </c>
      <c r="E168" s="3">
        <f>COUNTIF('KEMBE_Cleaned Data'!AHU:AHU,"1")</f>
        <v>0</v>
      </c>
      <c r="F168" s="3">
        <f>COUNTIF('KEMBE_Cleaned Data'!AHV:AHV,"1")</f>
        <v>4</v>
      </c>
    </row>
    <row r="169" spans="1:13" s="36" customFormat="1" ht="37" x14ac:dyDescent="0.25">
      <c r="A169" s="53" t="s">
        <v>3284</v>
      </c>
      <c r="B169" s="55">
        <f>B168/$E$23</f>
        <v>0.2</v>
      </c>
      <c r="C169" s="55">
        <f t="shared" ref="C169:F169" si="14">C168/$E$23</f>
        <v>0</v>
      </c>
      <c r="D169" s="55">
        <f t="shared" si="14"/>
        <v>0</v>
      </c>
      <c r="E169" s="55">
        <f t="shared" si="14"/>
        <v>0</v>
      </c>
      <c r="F169" s="55">
        <f t="shared" si="14"/>
        <v>0.8</v>
      </c>
    </row>
    <row r="171" spans="1:13" ht="15.5" x14ac:dyDescent="0.35">
      <c r="A171" s="29" t="s">
        <v>1299</v>
      </c>
      <c r="C171" s="103" t="s">
        <v>3245</v>
      </c>
    </row>
    <row r="172" spans="1:13" ht="70" x14ac:dyDescent="0.3">
      <c r="A172" s="8" t="s">
        <v>1475</v>
      </c>
      <c r="B172" s="8" t="s">
        <v>1332</v>
      </c>
      <c r="C172" s="8" t="s">
        <v>1333</v>
      </c>
      <c r="D172" s="8" t="s">
        <v>1978</v>
      </c>
      <c r="E172" s="8" t="s">
        <v>1979</v>
      </c>
      <c r="F172" s="8" t="s">
        <v>1980</v>
      </c>
      <c r="G172" s="8" t="s">
        <v>1981</v>
      </c>
      <c r="H172" s="8" t="s">
        <v>1764</v>
      </c>
      <c r="I172" s="8" t="s">
        <v>1905</v>
      </c>
      <c r="J172" s="8" t="s">
        <v>1205</v>
      </c>
    </row>
    <row r="173" spans="1:13" x14ac:dyDescent="0.3">
      <c r="A173" s="3">
        <f>COUNTIF('KEMBE_Cleaned Data'!AHY:AHY,"1")</f>
        <v>5</v>
      </c>
      <c r="B173" s="3">
        <f>COUNTIF('KEMBE_Cleaned Data'!AHZ:AHZ,"1")</f>
        <v>5</v>
      </c>
      <c r="C173" s="3">
        <f>COUNTIF('KEMBE_Cleaned Data'!AIA:AIA,"1")</f>
        <v>5</v>
      </c>
      <c r="D173" s="3">
        <f>COUNTIF('KEMBE_Cleaned Data'!AIB:AIB,"1")</f>
        <v>5</v>
      </c>
      <c r="E173" s="3">
        <f>COUNTIF('KEMBE_Cleaned Data'!AIC:AIC,"1")</f>
        <v>5</v>
      </c>
      <c r="F173" s="3">
        <f>COUNTIF('KEMBE_Cleaned Data'!AID:AID,"1")</f>
        <v>4</v>
      </c>
      <c r="G173" s="3">
        <f>COUNTIF('KEMBE_Cleaned Data'!AIE:AIE,"1")</f>
        <v>4</v>
      </c>
      <c r="H173" s="3">
        <f>COUNTIF('KEMBE_Cleaned Data'!AIG:AIG,"1")</f>
        <v>0</v>
      </c>
      <c r="I173" s="3">
        <f>COUNTIF('KEMBE_Cleaned Data'!AIH:AIH,"1")</f>
        <v>0</v>
      </c>
      <c r="J173" s="3">
        <f>COUNTIF('KEMBE_Cleaned Data'!AII:AII,"1")</f>
        <v>0</v>
      </c>
    </row>
    <row r="174" spans="1:13" x14ac:dyDescent="0.3">
      <c r="J174" s="74"/>
    </row>
    <row r="175" spans="1:13" ht="15.5" x14ac:dyDescent="0.35">
      <c r="A175" s="29" t="s">
        <v>1300</v>
      </c>
      <c r="D175" s="103" t="s">
        <v>3245</v>
      </c>
    </row>
    <row r="176" spans="1:13" ht="42" x14ac:dyDescent="0.3">
      <c r="A176" s="8" t="s">
        <v>1912</v>
      </c>
      <c r="B176" s="8" t="s">
        <v>1982</v>
      </c>
      <c r="C176" s="8" t="s">
        <v>1913</v>
      </c>
      <c r="D176" s="8" t="s">
        <v>1914</v>
      </c>
      <c r="E176" s="8" t="s">
        <v>1915</v>
      </c>
      <c r="F176" s="8" t="s">
        <v>1916</v>
      </c>
      <c r="G176" s="8" t="s">
        <v>1917</v>
      </c>
      <c r="H176" s="8" t="s">
        <v>1918</v>
      </c>
      <c r="I176" s="8" t="s">
        <v>1919</v>
      </c>
      <c r="J176" s="8" t="s">
        <v>1920</v>
      </c>
      <c r="K176" s="8" t="s">
        <v>1252</v>
      </c>
      <c r="L176" s="8" t="s">
        <v>1905</v>
      </c>
      <c r="M176" s="8" t="s">
        <v>1205</v>
      </c>
    </row>
    <row r="177" spans="1:16" x14ac:dyDescent="0.3">
      <c r="A177" s="24">
        <f>COUNTIF('KEMBE_Cleaned Data'!AIL:AIL,"1")</f>
        <v>0</v>
      </c>
      <c r="B177" s="24">
        <f>COUNTIF('KEMBE_Cleaned Data'!AIM:AIM,"1")</f>
        <v>2</v>
      </c>
      <c r="C177" s="24">
        <f>COUNTIF('KEMBE_Cleaned Data'!AIN:AIN,"1")</f>
        <v>0</v>
      </c>
      <c r="D177" s="24">
        <f>COUNTIF('KEMBE_Cleaned Data'!AIO:AIO,"1")</f>
        <v>0</v>
      </c>
      <c r="E177" s="24">
        <f>COUNTIF('KEMBE_Cleaned Data'!AIP:AIP,"1")</f>
        <v>0</v>
      </c>
      <c r="F177" s="24">
        <f>COUNTIF('KEMBE_Cleaned Data'!AIQ:AIQ,"1")</f>
        <v>0</v>
      </c>
      <c r="G177" s="24">
        <f>COUNTIF('KEMBE_Cleaned Data'!AIR:AIR,"1")</f>
        <v>1</v>
      </c>
      <c r="H177" s="24">
        <f>COUNTIF('KEMBE_Cleaned Data'!AIS:AIS,"1")</f>
        <v>0</v>
      </c>
      <c r="I177" s="24">
        <f>COUNTIF('KEMBE_Cleaned Data'!AIT:AIT,"1")</f>
        <v>1</v>
      </c>
      <c r="J177" s="24">
        <f>COUNTIF('KEMBE_Cleaned Data'!AIX:AIX,"1")</f>
        <v>2</v>
      </c>
      <c r="K177" s="24">
        <f>COUNTIF('KEMBE_Cleaned Data'!AIU:AIU,"1")</f>
        <v>1</v>
      </c>
      <c r="L177" s="24">
        <f>COUNTIF('KEMBE_Cleaned Data'!AIV:AIV,"1")</f>
        <v>0</v>
      </c>
      <c r="M177" s="24">
        <f>COUNTIF('KEMBE_Cleaned Data'!AIW:AIW,"1")</f>
        <v>0</v>
      </c>
    </row>
    <row r="179" spans="1:16" ht="15.5" x14ac:dyDescent="0.35">
      <c r="A179" s="29" t="s">
        <v>1334</v>
      </c>
    </row>
    <row r="180" spans="1:16" x14ac:dyDescent="0.3">
      <c r="A180" s="3"/>
      <c r="B180" s="8" t="s">
        <v>1210</v>
      </c>
      <c r="C180" s="8" t="s">
        <v>1209</v>
      </c>
      <c r="D180" s="114" t="s">
        <v>1206</v>
      </c>
    </row>
    <row r="181" spans="1:16" x14ac:dyDescent="0.3">
      <c r="A181" s="3" t="s">
        <v>1207</v>
      </c>
      <c r="B181" s="24">
        <f>COUNTIF('KEMBE_Cleaned Data'!AIZ:AIZ,"OUI")</f>
        <v>3</v>
      </c>
      <c r="C181" s="24">
        <f>COUNTIF('KEMBE_Cleaned Data'!AIZ:AIZ,"non")</f>
        <v>3</v>
      </c>
      <c r="D181" s="111">
        <f>SUM(B181:C181)</f>
        <v>6</v>
      </c>
    </row>
    <row r="182" spans="1:16" ht="26" x14ac:dyDescent="0.3">
      <c r="A182" s="53" t="s">
        <v>3273</v>
      </c>
      <c r="B182" s="7">
        <f>(B181/$B$3)</f>
        <v>0.5</v>
      </c>
      <c r="C182" s="7">
        <f>(C181/$B$3)</f>
        <v>0.5</v>
      </c>
      <c r="D182" s="7">
        <f>SUM(B182:C182)</f>
        <v>1</v>
      </c>
    </row>
    <row r="184" spans="1:16" x14ac:dyDescent="0.3">
      <c r="B184" s="18" t="s">
        <v>1262</v>
      </c>
      <c r="D184" s="103" t="s">
        <v>3245</v>
      </c>
    </row>
    <row r="185" spans="1:16" ht="14.5" x14ac:dyDescent="0.35">
      <c r="B185" s="3"/>
      <c r="C185" s="11" t="s">
        <v>1263</v>
      </c>
      <c r="D185" s="11" t="s">
        <v>1264</v>
      </c>
      <c r="E185" s="11" t="s">
        <v>1256</v>
      </c>
      <c r="F185" s="11" t="s">
        <v>1257</v>
      </c>
      <c r="G185" s="11" t="s">
        <v>1240</v>
      </c>
      <c r="H185" s="11" t="s">
        <v>1905</v>
      </c>
      <c r="I185" s="11" t="s">
        <v>1205</v>
      </c>
      <c r="J185" s="23"/>
      <c r="K185" s="23"/>
    </row>
    <row r="186" spans="1:16" x14ac:dyDescent="0.3">
      <c r="B186" s="3" t="s">
        <v>1207</v>
      </c>
      <c r="C186" s="24">
        <f>COUNTIF('KEMBE_Cleaned Data'!AJB:AJB,"1")</f>
        <v>0</v>
      </c>
      <c r="D186" s="24">
        <f>COUNTIF('KEMBE_Cleaned Data'!AJC:AJC,"1")</f>
        <v>0</v>
      </c>
      <c r="E186" s="24">
        <f>COUNTIF('KEMBE_Cleaned Data'!AJD:AJD,"1")</f>
        <v>0</v>
      </c>
      <c r="F186" s="24">
        <f>COUNTIF('KEMBE_Cleaned Data'!AJE:AJE,"1")</f>
        <v>0</v>
      </c>
      <c r="G186" s="24">
        <f>COUNTIF('KEMBE_Cleaned Data'!AJF:AJF,"1")</f>
        <v>3</v>
      </c>
      <c r="H186" s="24">
        <f>COUNTIF('KEMBE_Cleaned Data'!AJG:AJG,"1")</f>
        <v>0</v>
      </c>
      <c r="I186" s="24">
        <f>COUNTIF('KEMBE_Cleaned Data'!AJH:AJH,"1")</f>
        <v>0</v>
      </c>
    </row>
    <row r="187" spans="1:16" ht="37.5" x14ac:dyDescent="0.3">
      <c r="B187" s="53" t="s">
        <v>3286</v>
      </c>
      <c r="C187" s="7">
        <f>C186/$B$181</f>
        <v>0</v>
      </c>
      <c r="D187" s="7">
        <f t="shared" ref="D187:I187" si="15">D186/$B$181</f>
        <v>0</v>
      </c>
      <c r="E187" s="7">
        <f t="shared" si="15"/>
        <v>0</v>
      </c>
      <c r="F187" s="7">
        <f t="shared" si="15"/>
        <v>0</v>
      </c>
      <c r="G187" s="7">
        <f t="shared" si="15"/>
        <v>1</v>
      </c>
      <c r="H187" s="7">
        <f t="shared" si="15"/>
        <v>0</v>
      </c>
      <c r="I187" s="7">
        <f t="shared" si="15"/>
        <v>0</v>
      </c>
    </row>
    <row r="189" spans="1:16" x14ac:dyDescent="0.3">
      <c r="B189" s="18" t="s">
        <v>1265</v>
      </c>
      <c r="D189" s="103" t="s">
        <v>3245</v>
      </c>
    </row>
    <row r="190" spans="1:16" ht="70" x14ac:dyDescent="0.35">
      <c r="B190" s="3"/>
      <c r="C190" s="11" t="s">
        <v>1534</v>
      </c>
      <c r="D190" s="11" t="s">
        <v>1535</v>
      </c>
      <c r="E190" s="11" t="s">
        <v>1985</v>
      </c>
      <c r="F190" s="11" t="s">
        <v>1536</v>
      </c>
      <c r="G190" s="11" t="s">
        <v>1986</v>
      </c>
      <c r="H190" s="11" t="s">
        <v>1987</v>
      </c>
      <c r="I190" s="11" t="s">
        <v>1988</v>
      </c>
      <c r="J190" s="11" t="s">
        <v>1526</v>
      </c>
      <c r="K190" s="11" t="s">
        <v>1527</v>
      </c>
      <c r="L190" s="11" t="s">
        <v>1525</v>
      </c>
      <c r="M190" s="11" t="s">
        <v>1905</v>
      </c>
      <c r="N190" s="11" t="s">
        <v>1205</v>
      </c>
      <c r="P190" s="23"/>
    </row>
    <row r="191" spans="1:16" x14ac:dyDescent="0.3">
      <c r="B191" s="3" t="s">
        <v>1207</v>
      </c>
      <c r="C191" s="24">
        <f>COUNTIF('KEMBE_Cleaned Data'!AJK:AJK,"1")</f>
        <v>0</v>
      </c>
      <c r="D191" s="24">
        <f>COUNTIF('KEMBE_Cleaned Data'!AJL:AJL,"1")</f>
        <v>0</v>
      </c>
      <c r="E191" s="24">
        <f>COUNTIF('KEMBE_Cleaned Data'!AJM:AJM,"1")</f>
        <v>1</v>
      </c>
      <c r="F191" s="24">
        <f>COUNTIF('KEMBE_Cleaned Data'!AJN:AJN,"1")</f>
        <v>0</v>
      </c>
      <c r="G191" s="24">
        <f>COUNTIF('KEMBE_Cleaned Data'!AJO:AJO,"1")</f>
        <v>0</v>
      </c>
      <c r="H191" s="24">
        <f>COUNTIF('KEMBE_Cleaned Data'!AJP:AJP,"1")</f>
        <v>1</v>
      </c>
      <c r="I191" s="24">
        <f>COUNTIF('KEMBE_Cleaned Data'!AJQ:AJQ,"1")</f>
        <v>3</v>
      </c>
      <c r="J191" s="24">
        <f>COUNTIF('KEMBE_Cleaned Data'!AJR:AJR,"1")</f>
        <v>2</v>
      </c>
      <c r="K191" s="24">
        <f>COUNTIF('KEMBE_Cleaned Data'!AJS:AJS,"1")</f>
        <v>0</v>
      </c>
      <c r="L191" s="24">
        <f>COUNTIF('KEMBE_Cleaned Data'!AJT:AJT,"1")</f>
        <v>2</v>
      </c>
      <c r="M191" s="24">
        <f>COUNTIF('KEMBE_Cleaned Data'!AJU:AJU,"1")</f>
        <v>0</v>
      </c>
      <c r="N191" s="24">
        <f>COUNTIF('KEMBE_Cleaned Data'!AJV:AJV,"1")</f>
        <v>0</v>
      </c>
    </row>
    <row r="192" spans="1:16" ht="37.5" x14ac:dyDescent="0.3">
      <c r="B192" s="53" t="s">
        <v>3286</v>
      </c>
      <c r="C192" s="7">
        <f>C191/$B$181</f>
        <v>0</v>
      </c>
      <c r="D192" s="7">
        <f t="shared" ref="D192:N192" si="16">D191/$B$181</f>
        <v>0</v>
      </c>
      <c r="E192" s="7">
        <f t="shared" si="16"/>
        <v>0.33333333333333331</v>
      </c>
      <c r="F192" s="7">
        <f t="shared" si="16"/>
        <v>0</v>
      </c>
      <c r="G192" s="7">
        <f t="shared" si="16"/>
        <v>0</v>
      </c>
      <c r="H192" s="7">
        <f t="shared" si="16"/>
        <v>0.33333333333333331</v>
      </c>
      <c r="I192" s="7">
        <f t="shared" si="16"/>
        <v>1</v>
      </c>
      <c r="J192" s="7">
        <f t="shared" si="16"/>
        <v>0.66666666666666663</v>
      </c>
      <c r="K192" s="7">
        <f t="shared" si="16"/>
        <v>0</v>
      </c>
      <c r="L192" s="7">
        <f t="shared" si="16"/>
        <v>0.66666666666666663</v>
      </c>
      <c r="M192" s="7">
        <f t="shared" si="16"/>
        <v>0</v>
      </c>
      <c r="N192" s="7">
        <f t="shared" si="16"/>
        <v>0</v>
      </c>
    </row>
    <row r="193" spans="1:12" x14ac:dyDescent="0.3">
      <c r="B193" s="50"/>
    </row>
    <row r="194" spans="1:12" x14ac:dyDescent="0.3">
      <c r="B194" s="18" t="s">
        <v>1407</v>
      </c>
    </row>
    <row r="195" spans="1:12" x14ac:dyDescent="0.3">
      <c r="B195" s="3"/>
      <c r="C195" s="11" t="s">
        <v>1210</v>
      </c>
      <c r="D195" s="11" t="s">
        <v>1209</v>
      </c>
      <c r="E195" s="114" t="s">
        <v>1206</v>
      </c>
    </row>
    <row r="196" spans="1:12" x14ac:dyDescent="0.3">
      <c r="B196" s="3" t="s">
        <v>1207</v>
      </c>
      <c r="C196" s="24">
        <f>COUNTIF('KEMBE_Cleaned Data'!AJX:AJX,"OUI")</f>
        <v>2</v>
      </c>
      <c r="D196" s="24">
        <f>COUNTIF('KEMBE_Cleaned Data'!AJX:AJX,"non")</f>
        <v>1</v>
      </c>
      <c r="E196" s="111">
        <f>SUM(C196:D196)</f>
        <v>3</v>
      </c>
    </row>
    <row r="197" spans="1:12" ht="37.5" x14ac:dyDescent="0.3">
      <c r="B197" s="53" t="s">
        <v>3286</v>
      </c>
      <c r="C197" s="7">
        <f>(C196/$B$181)</f>
        <v>0.66666666666666663</v>
      </c>
      <c r="D197" s="7">
        <f>(D196/$B$181)</f>
        <v>0.33333333333333331</v>
      </c>
      <c r="E197" s="7">
        <f>SUM(C197:D197)</f>
        <v>1</v>
      </c>
    </row>
    <row r="199" spans="1:12" x14ac:dyDescent="0.3">
      <c r="C199" s="18" t="s">
        <v>1270</v>
      </c>
      <c r="E199" s="103" t="s">
        <v>3245</v>
      </c>
    </row>
    <row r="200" spans="1:12" x14ac:dyDescent="0.3">
      <c r="C200" s="3"/>
      <c r="D200" s="11" t="s">
        <v>1271</v>
      </c>
      <c r="E200" s="11" t="s">
        <v>1272</v>
      </c>
      <c r="F200" s="11" t="s">
        <v>1273</v>
      </c>
      <c r="G200" s="11" t="s">
        <v>1274</v>
      </c>
      <c r="H200" s="11" t="s">
        <v>1205</v>
      </c>
    </row>
    <row r="201" spans="1:12" x14ac:dyDescent="0.3">
      <c r="C201" s="3" t="s">
        <v>1207</v>
      </c>
      <c r="D201" s="4">
        <f>COUNTIF('KEMBE_Cleaned Data'!AJZ:AJZ,"1")</f>
        <v>1</v>
      </c>
      <c r="E201" s="4">
        <f>COUNTIF('KEMBE_Cleaned Data'!AKA:AKA,"1")</f>
        <v>0</v>
      </c>
      <c r="F201" s="4">
        <f>COUNTIF('KEMBE_Cleaned Data'!AKB:AKB,"1")</f>
        <v>0</v>
      </c>
      <c r="G201" s="4">
        <f>COUNTIF('KEMBE_Cleaned Data'!AKC:AKC,"1")</f>
        <v>0</v>
      </c>
      <c r="H201" s="4">
        <f>COUNTIF('KEMBE_Cleaned Data'!AKD:AKD,"1")</f>
        <v>0</v>
      </c>
    </row>
    <row r="202" spans="1:12" ht="49" x14ac:dyDescent="0.3">
      <c r="C202" s="53" t="s">
        <v>3287</v>
      </c>
      <c r="D202" s="7">
        <f>D201/$D$196</f>
        <v>1</v>
      </c>
      <c r="E202" s="7">
        <f t="shared" ref="E202:H202" si="17">E201/$D$196</f>
        <v>0</v>
      </c>
      <c r="F202" s="7">
        <f t="shared" si="17"/>
        <v>0</v>
      </c>
      <c r="G202" s="7">
        <f t="shared" si="17"/>
        <v>0</v>
      </c>
      <c r="H202" s="7">
        <f t="shared" si="17"/>
        <v>0</v>
      </c>
    </row>
    <row r="204" spans="1:12" ht="15.5" x14ac:dyDescent="0.35">
      <c r="A204" s="9" t="s">
        <v>1301</v>
      </c>
      <c r="C204" s="103" t="s">
        <v>3245</v>
      </c>
    </row>
    <row r="206" spans="1:12" ht="70" x14ac:dyDescent="0.3">
      <c r="A206" s="8" t="s">
        <v>1534</v>
      </c>
      <c r="B206" s="8" t="s">
        <v>1535</v>
      </c>
      <c r="C206" s="8" t="s">
        <v>1985</v>
      </c>
      <c r="D206" s="8" t="s">
        <v>1536</v>
      </c>
      <c r="E206" s="8" t="s">
        <v>1986</v>
      </c>
      <c r="F206" s="8" t="s">
        <v>1987</v>
      </c>
      <c r="G206" s="8" t="s">
        <v>1988</v>
      </c>
      <c r="H206" s="8" t="s">
        <v>1526</v>
      </c>
      <c r="I206" s="8" t="s">
        <v>1527</v>
      </c>
      <c r="J206" s="8" t="s">
        <v>1525</v>
      </c>
      <c r="K206" s="8" t="s">
        <v>1905</v>
      </c>
      <c r="L206" s="8" t="s">
        <v>1205</v>
      </c>
    </row>
    <row r="207" spans="1:12" x14ac:dyDescent="0.3">
      <c r="A207" s="24">
        <f>COUNTIF('KEMBE_Cleaned Data'!AKG:AKG,"1")</f>
        <v>5</v>
      </c>
      <c r="B207" s="24">
        <f>COUNTIF('KEMBE_Cleaned Data'!AKH:AKH,"1")</f>
        <v>3</v>
      </c>
      <c r="C207" s="24">
        <f>COUNTIF('KEMBE_Cleaned Data'!AKI:AKI,"1")</f>
        <v>6</v>
      </c>
      <c r="D207" s="24">
        <f>COUNTIF('KEMBE_Cleaned Data'!AKJ:AKJ,"1")</f>
        <v>6</v>
      </c>
      <c r="E207" s="24">
        <f>COUNTIF('KEMBE_Cleaned Data'!AKK:AKK,"1")</f>
        <v>4</v>
      </c>
      <c r="F207" s="24">
        <f>COUNTIF('KEMBE_Cleaned Data'!AKL:AKL,"1")</f>
        <v>6</v>
      </c>
      <c r="G207" s="24">
        <f>COUNTIF('KEMBE_Cleaned Data'!AKM:AKM,"1")</f>
        <v>6</v>
      </c>
      <c r="H207" s="24">
        <f>COUNTIF('KEMBE_Cleaned Data'!AKN:AKN,"1")</f>
        <v>5</v>
      </c>
      <c r="I207" s="24">
        <f>COUNTIF('KEMBE_Cleaned Data'!AKO:AKO,"1")</f>
        <v>4</v>
      </c>
      <c r="J207" s="24">
        <f>COUNTIF('KEMBE_Cleaned Data'!AKP:AKP,"1")</f>
        <v>4</v>
      </c>
      <c r="K207" s="24">
        <f>COUNTIF('KEMBE_Cleaned Data'!AKQ:AKQ,"1")</f>
        <v>0</v>
      </c>
      <c r="L207" s="24">
        <f>COUNTIF('KEMBE_Cleaned Data'!AKR:AKR,"1")</f>
        <v>0</v>
      </c>
    </row>
    <row r="208" spans="1:12" x14ac:dyDescent="0.3">
      <c r="L208" s="74"/>
    </row>
  </sheetData>
  <conditionalFormatting sqref="B53:L53">
    <cfRule type="colorScale" priority="34">
      <colorScale>
        <cfvo type="min"/>
        <cfvo type="max"/>
        <color theme="6" tint="0.79998168889431442"/>
        <color theme="5" tint="0.39997558519241921"/>
      </colorScale>
    </cfRule>
  </conditionalFormatting>
  <conditionalFormatting sqref="C112:F112">
    <cfRule type="colorScale" priority="33">
      <colorScale>
        <cfvo type="min"/>
        <cfvo type="max"/>
        <color theme="6" tint="0.79998168889431442"/>
        <color theme="5" tint="0.39997558519241921"/>
      </colorScale>
    </cfRule>
  </conditionalFormatting>
  <conditionalFormatting sqref="C117:I117">
    <cfRule type="colorScale" priority="32">
      <colorScale>
        <cfvo type="min"/>
        <cfvo type="max"/>
        <color theme="6" tint="0.79998168889431442"/>
        <color theme="5" tint="0.39997558519241921"/>
      </colorScale>
    </cfRule>
  </conditionalFormatting>
  <conditionalFormatting sqref="C122:J122">
    <cfRule type="colorScale" priority="31">
      <colorScale>
        <cfvo type="min"/>
        <cfvo type="max"/>
        <color theme="6" tint="0.79998168889431442"/>
        <color theme="5" tint="0.39997558519241921"/>
      </colorScale>
    </cfRule>
  </conditionalFormatting>
  <conditionalFormatting sqref="A164:F165">
    <cfRule type="colorScale" priority="35">
      <colorScale>
        <cfvo type="min"/>
        <cfvo type="max"/>
        <color theme="6" tint="0.79998168889431442"/>
        <color theme="5" tint="0.39997558519241921"/>
      </colorScale>
    </cfRule>
  </conditionalFormatting>
  <conditionalFormatting sqref="B168:F168">
    <cfRule type="colorScale" priority="30">
      <colorScale>
        <cfvo type="min"/>
        <cfvo type="max"/>
        <color theme="6" tint="0.79998168889431442"/>
        <color theme="5" tint="0.39997558519241921"/>
      </colorScale>
    </cfRule>
  </conditionalFormatting>
  <conditionalFormatting sqref="A173:J173">
    <cfRule type="colorScale" priority="36">
      <colorScale>
        <cfvo type="min"/>
        <cfvo type="max"/>
        <color theme="6" tint="0.79998168889431442"/>
        <color theme="5" tint="0.39997558519241921"/>
      </colorScale>
    </cfRule>
  </conditionalFormatting>
  <conditionalFormatting sqref="A177:M177">
    <cfRule type="colorScale" priority="29">
      <colorScale>
        <cfvo type="min"/>
        <cfvo type="max"/>
        <color theme="6" tint="0.79998168889431442"/>
        <color theme="5" tint="0.39997558519241921"/>
      </colorScale>
    </cfRule>
  </conditionalFormatting>
  <conditionalFormatting sqref="D201:H201">
    <cfRule type="colorScale" priority="28">
      <colorScale>
        <cfvo type="min"/>
        <cfvo type="max"/>
        <color theme="6" tint="0.79998168889431442"/>
        <color theme="5" tint="0.39997558519241921"/>
      </colorScale>
    </cfRule>
  </conditionalFormatting>
  <conditionalFormatting sqref="A207:L207">
    <cfRule type="colorScale" priority="27">
      <colorScale>
        <cfvo type="min"/>
        <cfvo type="max"/>
        <color theme="6" tint="0.79998168889431442"/>
        <color theme="5" tint="0.39997558519241921"/>
      </colorScale>
    </cfRule>
  </conditionalFormatting>
  <conditionalFormatting sqref="C191:N191">
    <cfRule type="colorScale" priority="26">
      <colorScale>
        <cfvo type="min"/>
        <cfvo type="max"/>
        <color theme="6" tint="0.79998168889431442"/>
        <color theme="5" tint="0.39997558519241921"/>
      </colorScale>
    </cfRule>
  </conditionalFormatting>
  <conditionalFormatting sqref="B7:E7">
    <cfRule type="colorScale" priority="25">
      <colorScale>
        <cfvo type="min"/>
        <cfvo type="max"/>
        <color theme="6" tint="0.79998168889431442"/>
        <color theme="5" tint="0.39997558519241921"/>
      </colorScale>
    </cfRule>
  </conditionalFormatting>
  <conditionalFormatting sqref="B18:D18">
    <cfRule type="colorScale" priority="24">
      <colorScale>
        <cfvo type="min"/>
        <cfvo type="max"/>
        <color theme="6" tint="0.79998168889431442"/>
        <color theme="5" tint="0.39997558519241921"/>
      </colorScale>
    </cfRule>
  </conditionalFormatting>
  <conditionalFormatting sqref="B23:D23">
    <cfRule type="colorScale" priority="23">
      <colorScale>
        <cfvo type="min"/>
        <cfvo type="max"/>
        <color theme="6" tint="0.79998168889431442"/>
        <color theme="5" tint="0.39997558519241921"/>
      </colorScale>
    </cfRule>
  </conditionalFormatting>
  <conditionalFormatting sqref="C28:K28">
    <cfRule type="colorScale" priority="22">
      <colorScale>
        <cfvo type="min"/>
        <cfvo type="max"/>
        <color theme="6" tint="0.79998168889431442"/>
        <color theme="5" tint="0.39997558519241921"/>
      </colorScale>
    </cfRule>
  </conditionalFormatting>
  <conditionalFormatting sqref="C38:J38">
    <cfRule type="colorScale" priority="21">
      <colorScale>
        <cfvo type="min"/>
        <cfvo type="max"/>
        <color theme="6" tint="0.79998168889431442"/>
        <color theme="5" tint="0.39997558519241921"/>
      </colorScale>
    </cfRule>
  </conditionalFormatting>
  <conditionalFormatting sqref="C33:G33">
    <cfRule type="colorScale" priority="20">
      <colorScale>
        <cfvo type="min"/>
        <cfvo type="max"/>
        <color theme="6" tint="0.79998168889431442"/>
        <color theme="5" tint="0.39997558519241921"/>
      </colorScale>
    </cfRule>
  </conditionalFormatting>
  <conditionalFormatting sqref="C43:G43">
    <cfRule type="colorScale" priority="19">
      <colorScale>
        <cfvo type="min"/>
        <cfvo type="max"/>
        <color theme="6" tint="0.79998168889431442"/>
        <color theme="5" tint="0.39997558519241921"/>
      </colorScale>
    </cfRule>
  </conditionalFormatting>
  <conditionalFormatting sqref="B48:H48">
    <cfRule type="colorScale" priority="18">
      <colorScale>
        <cfvo type="min"/>
        <cfvo type="max"/>
        <color theme="6" tint="0.79998168889431442"/>
        <color theme="5" tint="0.39997558519241921"/>
      </colorScale>
    </cfRule>
  </conditionalFormatting>
  <conditionalFormatting sqref="B58:C58">
    <cfRule type="colorScale" priority="17">
      <colorScale>
        <cfvo type="min"/>
        <cfvo type="max"/>
        <color theme="6" tint="0.79998168889431442"/>
        <color theme="5" tint="0.39997558519241921"/>
      </colorScale>
    </cfRule>
  </conditionalFormatting>
  <conditionalFormatting sqref="C66:D66">
    <cfRule type="colorScale" priority="16">
      <colorScale>
        <cfvo type="min"/>
        <cfvo type="max"/>
        <color theme="6" tint="0.79998168889431442"/>
        <color theme="5" tint="0.39997558519241921"/>
      </colorScale>
    </cfRule>
  </conditionalFormatting>
  <conditionalFormatting sqref="C76:D76">
    <cfRule type="colorScale" priority="15">
      <colorScale>
        <cfvo type="min"/>
        <cfvo type="max"/>
        <color theme="6" tint="0.79998168889431442"/>
        <color theme="5" tint="0.39997558519241921"/>
      </colorScale>
    </cfRule>
  </conditionalFormatting>
  <conditionalFormatting sqref="B81:C81">
    <cfRule type="colorScale" priority="14">
      <colorScale>
        <cfvo type="min"/>
        <cfvo type="max"/>
        <color theme="6" tint="0.79998168889431442"/>
        <color theme="5" tint="0.39997558519241921"/>
      </colorScale>
    </cfRule>
  </conditionalFormatting>
  <conditionalFormatting sqref="B148:C148">
    <cfRule type="colorScale" priority="13">
      <colorScale>
        <cfvo type="min"/>
        <cfvo type="max"/>
        <color theme="6" tint="0.79998168889431442"/>
        <color theme="5" tint="0.39997558519241921"/>
      </colorScale>
    </cfRule>
  </conditionalFormatting>
  <conditionalFormatting sqref="B107:C107">
    <cfRule type="colorScale" priority="12">
      <colorScale>
        <cfvo type="min"/>
        <cfvo type="max"/>
        <color theme="6" tint="0.79998168889431442"/>
        <color theme="5" tint="0.39997558519241921"/>
      </colorScale>
    </cfRule>
  </conditionalFormatting>
  <conditionalFormatting sqref="B136:D136">
    <cfRule type="colorScale" priority="11">
      <colorScale>
        <cfvo type="min"/>
        <cfvo type="max"/>
        <color theme="6" tint="0.79998168889431442"/>
        <color theme="5" tint="0.39997558519241921"/>
      </colorScale>
    </cfRule>
  </conditionalFormatting>
  <conditionalFormatting sqref="B141:D141">
    <cfRule type="colorScale" priority="10">
      <colorScale>
        <cfvo type="min"/>
        <cfvo type="max"/>
        <color theme="6" tint="0.79998168889431442"/>
        <color theme="5" tint="0.39997558519241921"/>
      </colorScale>
    </cfRule>
  </conditionalFormatting>
  <conditionalFormatting sqref="B153:C153">
    <cfRule type="colorScale" priority="9">
      <colorScale>
        <cfvo type="min"/>
        <cfvo type="max"/>
        <color theme="6" tint="0.79998168889431442"/>
        <color theme="5" tint="0.39997558519241921"/>
      </colorScale>
    </cfRule>
  </conditionalFormatting>
  <conditionalFormatting sqref="F158:G158">
    <cfRule type="colorScale" priority="8">
      <colorScale>
        <cfvo type="min"/>
        <cfvo type="max"/>
        <color theme="6" tint="0.79998168889431442"/>
        <color theme="5" tint="0.39997558519241921"/>
      </colorScale>
    </cfRule>
  </conditionalFormatting>
  <conditionalFormatting sqref="B181:C181">
    <cfRule type="colorScale" priority="7">
      <colorScale>
        <cfvo type="min"/>
        <cfvo type="max"/>
        <color theme="6" tint="0.79998168889431442"/>
        <color theme="5" tint="0.39997558519241921"/>
      </colorScale>
    </cfRule>
  </conditionalFormatting>
  <conditionalFormatting sqref="C186:I186">
    <cfRule type="colorScale" priority="6">
      <colorScale>
        <cfvo type="min"/>
        <cfvo type="max"/>
        <color theme="6" tint="0.79998168889431442"/>
        <color theme="5" tint="0.39997558519241921"/>
      </colorScale>
    </cfRule>
  </conditionalFormatting>
  <conditionalFormatting sqref="C196:D196">
    <cfRule type="colorScale" priority="5">
      <colorScale>
        <cfvo type="min"/>
        <cfvo type="max"/>
        <color theme="6" tint="0.79998168889431442"/>
        <color theme="5" tint="0.39997558519241921"/>
      </colorScale>
    </cfRule>
  </conditionalFormatting>
  <conditionalFormatting sqref="B12:F12">
    <cfRule type="colorScale" priority="4">
      <colorScale>
        <cfvo type="min"/>
        <cfvo type="max"/>
        <color theme="6" tint="0.79998168889431442"/>
        <color theme="5" tint="0.39997558519241921"/>
      </colorScale>
    </cfRule>
  </conditionalFormatting>
  <conditionalFormatting sqref="D148">
    <cfRule type="colorScale" priority="3">
      <colorScale>
        <cfvo type="min"/>
        <cfvo type="max"/>
        <color theme="6" tint="0.79998168889431442"/>
        <color theme="5" tint="0.39997558519241921"/>
      </colorScale>
    </cfRule>
  </conditionalFormatting>
  <conditionalFormatting sqref="C86:K86">
    <cfRule type="colorScale" priority="2">
      <colorScale>
        <cfvo type="min"/>
        <cfvo type="max"/>
        <color theme="6" tint="0.79998168889431442"/>
        <color theme="5" tint="0.39997558519241921"/>
      </colorScale>
    </cfRule>
  </conditionalFormatting>
  <conditionalFormatting sqref="D10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P157"/>
  <sheetViews>
    <sheetView zoomScale="90" zoomScaleNormal="90" workbookViewId="0">
      <selection activeCell="P144" sqref="P144"/>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COUNTIFS('KEMBE_Cleaned Data'!N:N,"marche",'KEMBE_Cleaned Data'!J:J,"KEMBE")</f>
        <v>4</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COUNTIF('KEMBE_Cleaned Data'!AKU:AKU,"oui")</f>
        <v>4</v>
      </c>
      <c r="C7" s="24">
        <f>COUNTIF('KEMBE_Cleaned Data'!AKU:AKU,"non")</f>
        <v>0</v>
      </c>
      <c r="D7" s="24">
        <f>COUNTIF('KEMBE_Cleaned Data'!AKU:AKU,"partiel")</f>
        <v>0</v>
      </c>
      <c r="E7" s="62">
        <f>SUM(B7+D7)</f>
        <v>4</v>
      </c>
    </row>
    <row r="8" spans="1:10" ht="26" x14ac:dyDescent="0.3">
      <c r="A8" s="121" t="s">
        <v>3316</v>
      </c>
      <c r="B8" s="39">
        <f>(B7/$E$7)</f>
        <v>1</v>
      </c>
      <c r="C8" s="39">
        <f>(C7/$E$7)</f>
        <v>0</v>
      </c>
      <c r="D8" s="38">
        <f>COUNTIF('KEMBE_Cleaned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COUNTIF('KEMBE_Cleaned Data'!ALF:ALF,"oui")</f>
        <v>1</v>
      </c>
      <c r="C12" s="24">
        <f>COUNTIF('KEMBE_Cleaned Data'!ALF:ALF,"non")</f>
        <v>3</v>
      </c>
      <c r="D12" s="25">
        <f>SUM(B12:C12)</f>
        <v>4</v>
      </c>
    </row>
    <row r="13" spans="1:10" ht="26" x14ac:dyDescent="0.3">
      <c r="A13" s="121" t="s">
        <v>3316</v>
      </c>
      <c r="B13" s="39">
        <f>(B12/$B$3)</f>
        <v>0.25</v>
      </c>
      <c r="C13" s="39">
        <f>(C12/$B$3)</f>
        <v>0.75</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COUNTIF('KEMBE_Cleaned Data'!ALG:ALG,"oui")</f>
        <v>4</v>
      </c>
      <c r="D17" s="24">
        <f>COUNTIF('KEMBE_Cleaned Data'!ALG:ALG,"non")</f>
        <v>0</v>
      </c>
      <c r="E17" s="25">
        <f>SUM(C17:D17)</f>
        <v>4</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COUNTIF('KEMBE_Cleaned Data'!ALO:ALO,"1")</f>
        <v>4</v>
      </c>
      <c r="C22" s="24">
        <f>COUNTIF('KEMBE_Cleaned Data'!ALP:ALP,"1")</f>
        <v>3</v>
      </c>
      <c r="D22" s="24">
        <f>COUNTIF('KEMBE_Cleaned Data'!ALQ:ALQ,"1")</f>
        <v>2</v>
      </c>
      <c r="E22" s="24">
        <f>COUNTIF('KEMBE_Cleaned Data'!ALR:ALR,"1")</f>
        <v>2</v>
      </c>
      <c r="F22" s="24">
        <f>COUNTIF('KEMBE_Cleaned Data'!ALS:ALS,"1")</f>
        <v>2</v>
      </c>
      <c r="G22" s="24">
        <f>COUNTIF('KEMBE_Cleaned Data'!ALT:ALT,"1")</f>
        <v>0</v>
      </c>
      <c r="H22" s="24">
        <f>COUNTIF('KEMBE_Cleaned Data'!ALU:ALU,"1")</f>
        <v>1</v>
      </c>
      <c r="I22" s="24">
        <f>COUNTIF('KEMBE_Cleaned Data'!ALV:ALV,"1")</f>
        <v>0</v>
      </c>
    </row>
    <row r="23" spans="1:10" ht="26" x14ac:dyDescent="0.3">
      <c r="A23" s="121" t="s">
        <v>3319</v>
      </c>
      <c r="B23" s="39">
        <f>B22/$E$7</f>
        <v>1</v>
      </c>
      <c r="C23" s="39">
        <f t="shared" ref="C23:I23" si="0">C22/$E$7</f>
        <v>0.75</v>
      </c>
      <c r="D23" s="39">
        <f t="shared" si="0"/>
        <v>0.5</v>
      </c>
      <c r="E23" s="39">
        <f t="shared" si="0"/>
        <v>0.5</v>
      </c>
      <c r="F23" s="39">
        <f t="shared" si="0"/>
        <v>0.5</v>
      </c>
      <c r="G23" s="39">
        <f t="shared" si="0"/>
        <v>0</v>
      </c>
      <c r="H23" s="39">
        <f t="shared" si="0"/>
        <v>0.25</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IF('KEMBE_Cleaned Data'!AMW:AMW&lt;999,AVERAGE('KEMBE_Cleaned Data'!AMW:AMW))</f>
        <v>60</v>
      </c>
    </row>
    <row r="28" spans="1:10" ht="15.5" x14ac:dyDescent="0.35">
      <c r="A28" s="29" t="s">
        <v>1999</v>
      </c>
    </row>
    <row r="29" spans="1:10" x14ac:dyDescent="0.3">
      <c r="A29" s="24"/>
      <c r="B29" s="8" t="s">
        <v>1210</v>
      </c>
      <c r="C29" s="8" t="s">
        <v>1209</v>
      </c>
      <c r="D29" s="127" t="s">
        <v>1206</v>
      </c>
    </row>
    <row r="30" spans="1:10" x14ac:dyDescent="0.3">
      <c r="A30" s="24" t="s">
        <v>1207</v>
      </c>
      <c r="B30" s="24">
        <f>COUNTIF('KEMBE_Cleaned Data'!AMX:AMX,"oui")</f>
        <v>4</v>
      </c>
      <c r="C30" s="24">
        <f>COUNTIF('KEMBE_Cleaned Data'!AMX:AMX,"non")</f>
        <v>0</v>
      </c>
      <c r="D30" s="25">
        <f>SUM(B30:C30)</f>
        <v>4</v>
      </c>
    </row>
    <row r="31" spans="1:10" ht="26" x14ac:dyDescent="0.3">
      <c r="A31" s="121" t="s">
        <v>3319</v>
      </c>
      <c r="B31" s="39">
        <f>(B30/$E$7)</f>
        <v>1</v>
      </c>
      <c r="C31" s="39">
        <f>(C30/$E$7)</f>
        <v>0</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COUNTIF('KEMBE_Cleaned Data'!AMY:AMY,"peu_diminue")</f>
        <v>2</v>
      </c>
      <c r="D35" s="24">
        <f>COUNTIF('KEMBE_Cleaned Data'!AMY:AMY,"bcp_diminue")</f>
        <v>2</v>
      </c>
      <c r="E35" s="24">
        <f>COUNTIF('KEMBE_Cleaned Data'!AMY:AMY,"peu_augmente")</f>
        <v>0</v>
      </c>
      <c r="F35" s="24">
        <f>COUNTIF('KEMBE_Cleaned Data'!AMY:AMY,"bcp_augmente")</f>
        <v>0</v>
      </c>
      <c r="G35" s="25">
        <f>SUM(C35:F35)</f>
        <v>4</v>
      </c>
    </row>
    <row r="36" spans="1:13" ht="49" x14ac:dyDescent="0.3">
      <c r="B36" s="121" t="s">
        <v>3320</v>
      </c>
      <c r="C36" s="39">
        <f>C35/$B$30</f>
        <v>0.5</v>
      </c>
      <c r="D36" s="39">
        <f t="shared" ref="D36:F36" si="1">D35/$B$30</f>
        <v>0.5</v>
      </c>
      <c r="E36" s="39">
        <f t="shared" si="1"/>
        <v>0</v>
      </c>
      <c r="F36" s="39">
        <f t="shared" si="1"/>
        <v>0</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COUNTIF('KEMBE_Cleaned Data'!ANL:ANL,"1")</f>
        <v>3</v>
      </c>
      <c r="D40" s="24">
        <f>COUNTIF('KEMBE_Cleaned Data'!ANM:ANM,"1")</f>
        <v>0</v>
      </c>
      <c r="E40" s="24">
        <f>COUNTIF('KEMBE_Cleaned Data'!ANN:ANN,"1")</f>
        <v>1</v>
      </c>
      <c r="F40" s="24">
        <f>COUNTIF('KEMBE_Cleaned Data'!ANO:ANO,"1")</f>
        <v>0</v>
      </c>
      <c r="G40" s="24">
        <f>COUNTIF('KEMBE_Cleaned Data'!ANP:ANP,"1")</f>
        <v>0</v>
      </c>
      <c r="H40" s="24">
        <f>COUNTIF('KEMBE_Cleaned Data'!ANV:ANV,"1")</f>
        <v>0</v>
      </c>
      <c r="I40" s="24">
        <f>COUNTIF('KEMBE_Cleaned Data'!ANQ:ANQ,"1")</f>
        <v>0</v>
      </c>
      <c r="J40" s="24">
        <f>COUNTIF('KEMBE_Cleaned Data'!ANR:ANR,"1")</f>
        <v>0</v>
      </c>
      <c r="K40" s="24">
        <f>COUNTIF('KEMBE_Cleaned Data'!ANS:ANS,"1")</f>
        <v>0</v>
      </c>
      <c r="L40" s="24">
        <f>COUNTIF('KEMBE_Cleaned Data'!ANT:ANT,"1")</f>
        <v>0</v>
      </c>
      <c r="M40" s="24">
        <f>COUNTIF('KEMBE_Cleaned Data'!ANU:ANU,"1")</f>
        <v>0</v>
      </c>
    </row>
    <row r="41" spans="1:13" ht="49" x14ac:dyDescent="0.3">
      <c r="B41" s="121" t="s">
        <v>3321</v>
      </c>
      <c r="C41" s="39">
        <f>C40/(C35+D35)</f>
        <v>0.75</v>
      </c>
      <c r="D41" s="39">
        <f>D40/(C35+D35)</f>
        <v>0</v>
      </c>
      <c r="E41" s="39">
        <f>E40/(C35+D35)</f>
        <v>0.25</v>
      </c>
      <c r="F41" s="39">
        <f>F40/(C35+D35)</f>
        <v>0</v>
      </c>
      <c r="G41" s="39">
        <f>G40/(C35+D35)</f>
        <v>0</v>
      </c>
      <c r="H41" s="39">
        <f>H40/(C35+D35)</f>
        <v>0</v>
      </c>
      <c r="I41" s="39">
        <f>I40/(C35+D35)</f>
        <v>0</v>
      </c>
      <c r="J41" s="39">
        <f>J40/(C35+D35)</f>
        <v>0</v>
      </c>
      <c r="K41" s="39">
        <f>K40/(C35+D35)</f>
        <v>0</v>
      </c>
      <c r="L41" s="39">
        <f>L40/(C35+D35)</f>
        <v>0</v>
      </c>
      <c r="M41" s="39">
        <f>M40/(C35+D35)</f>
        <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COUNTIF('KEMBE_Cleaned Data'!ANA:ANA,"1")</f>
        <v>0</v>
      </c>
      <c r="D45" s="24">
        <f>COUNTIF('KEMBE_Cleaned Data'!ANB:ANB,"1")</f>
        <v>0</v>
      </c>
      <c r="E45" s="24">
        <f>COUNTIF('KEMBE_Cleaned Data'!ANC:ANC,"1")</f>
        <v>0</v>
      </c>
      <c r="F45" s="24">
        <f>COUNTIF('KEMBE_Cleaned Data'!AND:AND,"1")</f>
        <v>0</v>
      </c>
      <c r="G45" s="24">
        <f>COUNTIF('KEMBE_Cleaned Data'!ANE:ANE,"1")</f>
        <v>0</v>
      </c>
      <c r="H45" s="24">
        <f>COUNTIF('KEMBE_Cleaned Data'!ANF:ANF,"1")</f>
        <v>0</v>
      </c>
      <c r="I45" s="24">
        <f>COUNTIF('KEMBE_Cleaned Data'!ANG:ANG,"1")</f>
        <v>0</v>
      </c>
      <c r="J45" s="24">
        <f>COUNTIF('KEMBE_Cleaned Data'!ANH:ANH,"1")</f>
        <v>0</v>
      </c>
      <c r="K45" s="24">
        <f>COUNTIF('KEMBE_Cleaned Data'!ANI:ANI,"1")</f>
        <v>0</v>
      </c>
      <c r="L45" s="41"/>
      <c r="M45" s="41"/>
    </row>
    <row r="46" spans="1:13" ht="49" x14ac:dyDescent="0.3">
      <c r="B46" s="121" t="s">
        <v>3322</v>
      </c>
      <c r="C46" s="39" t="e">
        <f>C45/(E35+F35)</f>
        <v>#DIV/0!</v>
      </c>
      <c r="D46" s="39" t="e">
        <f>D45/(E35+F35)</f>
        <v>#DIV/0!</v>
      </c>
      <c r="E46" s="39" t="e">
        <f>E45/(E35+F35)</f>
        <v>#DIV/0!</v>
      </c>
      <c r="F46" s="39" t="e">
        <f>F45/(E35+F35)</f>
        <v>#DIV/0!</v>
      </c>
      <c r="G46" s="39" t="e">
        <f>G45/(E35+F35)</f>
        <v>#DIV/0!</v>
      </c>
      <c r="H46" s="39" t="e">
        <f>H45/(E35+F35)</f>
        <v>#DIV/0!</v>
      </c>
      <c r="I46" s="39" t="e">
        <f>I45/(E35+F35)</f>
        <v>#DIV/0!</v>
      </c>
      <c r="J46" s="39" t="e">
        <f>J45/(E35+F35)</f>
        <v>#DIV/0!</v>
      </c>
      <c r="K46" s="39" t="e">
        <f>K45/(E35+F35)</f>
        <v>#DIV/0!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COUNTIF('KEMBE_Cleaned Data'!ANX:ANX,"oui")</f>
        <v>2</v>
      </c>
      <c r="C50" s="24">
        <f>COUNTIF('KEMBE_Cleaned Data'!ANX:ANX,"non")</f>
        <v>2</v>
      </c>
      <c r="D50" s="25">
        <f>SUM(B50:C50)</f>
        <v>4</v>
      </c>
    </row>
    <row r="51" spans="1:12" ht="26" x14ac:dyDescent="0.3">
      <c r="A51" s="121" t="s">
        <v>3319</v>
      </c>
      <c r="B51" s="39">
        <f>(B50/$E$7)</f>
        <v>0.5</v>
      </c>
      <c r="C51" s="39">
        <f>(C50/$E$7)</f>
        <v>0.5</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COUNTIF('KEMBE_Cleaned Data'!ARH:ARH,"1")</f>
        <v>0</v>
      </c>
      <c r="C55" s="38">
        <f>COUNTIF('KEMBE_Cleaned Data'!ARI:ARI,"1")</f>
        <v>1</v>
      </c>
      <c r="D55" s="38">
        <f>COUNTIF('KEMBE_Cleaned Data'!ARJ:ARJ,"1")</f>
        <v>0</v>
      </c>
      <c r="E55" s="38">
        <f>COUNTIF('KEMBE_Cleaned Data'!ARQ:ARQ,"1")</f>
        <v>2</v>
      </c>
      <c r="F55" s="38">
        <f>COUNTIF('KEMBE_Cleaned Data'!ARR:ARR,"1")</f>
        <v>0</v>
      </c>
      <c r="G55" s="38">
        <f>COUNTIF('KEMBE_Cleaned Data'!ARK:ARK,"1")</f>
        <v>0</v>
      </c>
      <c r="H55" s="38">
        <f>COUNTIF('KEMBE_Cleaned Data'!ARL:ARL,"1")</f>
        <v>0</v>
      </c>
      <c r="I55" s="38">
        <f>COUNTIF('KEMBE_Cleaned Data'!ARM:ARM,"1")</f>
        <v>0</v>
      </c>
      <c r="J55" s="38">
        <f>COUNTIF('KEMBE_Cleaned Data'!ARS:ARS,"1")</f>
        <v>0</v>
      </c>
      <c r="K55" s="38">
        <f>COUNTIF('KEMBE_Cleaned Data'!ARO:ARO,"1")</f>
        <v>1</v>
      </c>
      <c r="L55" s="38">
        <f>COUNTIF('KEMBE_Cleaned Data'!ARP:ARP,"1")</f>
        <v>0</v>
      </c>
    </row>
    <row r="56" spans="1:12" ht="26" x14ac:dyDescent="0.3">
      <c r="A56" s="121" t="s">
        <v>3316</v>
      </c>
      <c r="B56" s="39">
        <f t="shared" ref="B56:L56" si="2">B55/$B$3</f>
        <v>0</v>
      </c>
      <c r="C56" s="39">
        <f t="shared" si="2"/>
        <v>0.25</v>
      </c>
      <c r="D56" s="39">
        <f t="shared" si="2"/>
        <v>0</v>
      </c>
      <c r="E56" s="39">
        <f t="shared" si="2"/>
        <v>0.5</v>
      </c>
      <c r="F56" s="39">
        <f t="shared" si="2"/>
        <v>0</v>
      </c>
      <c r="G56" s="39">
        <f t="shared" si="2"/>
        <v>0</v>
      </c>
      <c r="H56" s="39">
        <f t="shared" si="2"/>
        <v>0</v>
      </c>
      <c r="I56" s="39">
        <f t="shared" si="2"/>
        <v>0</v>
      </c>
      <c r="J56" s="39">
        <f t="shared" si="2"/>
        <v>0</v>
      </c>
      <c r="K56" s="39">
        <f t="shared" si="2"/>
        <v>0.25</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COUNTIF('KEMBE_Cleaned Data'!AOA:AOA,"1")</f>
        <v>1</v>
      </c>
      <c r="C61" s="24">
        <f>COUNTIF('KEMBE_Cleaned Data'!AOB:AOB,"1")</f>
        <v>1</v>
      </c>
      <c r="D61" s="24">
        <f>COUNTIF('KEMBE_Cleaned Data'!AOC:AOC,"1")</f>
        <v>0</v>
      </c>
      <c r="E61" s="24">
        <f>COUNTIF('KEMBE_Cleaned Data'!AOD:AOD,"1")</f>
        <v>0</v>
      </c>
      <c r="F61" s="24">
        <f>COUNTIF('KEMBE_Cleaned Data'!AOE:AOE,"1")</f>
        <v>0</v>
      </c>
      <c r="G61" s="24">
        <f>COUNTIF('KEMBE_Cleaned Data'!AOF:AOF,"1")</f>
        <v>3</v>
      </c>
      <c r="H61" s="24">
        <f>COUNTIF('KEMBE_Cleaned Data'!AOG:AOG,"1")</f>
        <v>0</v>
      </c>
      <c r="I61" s="24">
        <f>COUNTIF('KEMBE_Cleaned Data'!AOH:AOH,"1")</f>
        <v>0</v>
      </c>
      <c r="J61" s="14"/>
    </row>
    <row r="62" spans="1:12" ht="26" x14ac:dyDescent="0.3">
      <c r="A62" s="121" t="s">
        <v>3319</v>
      </c>
      <c r="B62" s="39">
        <f>B61/$E$7</f>
        <v>0.25</v>
      </c>
      <c r="C62" s="39">
        <f t="shared" ref="C62:I62" si="3">C61/$E$7</f>
        <v>0.25</v>
      </c>
      <c r="D62" s="39">
        <f t="shared" si="3"/>
        <v>0</v>
      </c>
      <c r="E62" s="39">
        <f t="shared" si="3"/>
        <v>0</v>
      </c>
      <c r="F62" s="39">
        <f t="shared" si="3"/>
        <v>0</v>
      </c>
      <c r="G62" s="39">
        <f t="shared" si="3"/>
        <v>0.75</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COUNTIF('KEMBE_Cleaned Data'!AOL:AOL,"local")</f>
        <v>4</v>
      </c>
      <c r="D66" s="24">
        <f>COUNTIF('KEMBE_Cleaned Data'!AOM:AOM,"local")</f>
        <v>0</v>
      </c>
      <c r="E66" s="24">
        <f>COUNTIF('KEMBE_Cleaned Data'!AON:AON,"local")</f>
        <v>0</v>
      </c>
      <c r="F66" s="24">
        <f>COUNTIF('KEMBE_Cleaned Data'!AOO:AOO,"local")</f>
        <v>0</v>
      </c>
      <c r="G66" s="24">
        <f>COUNTIF('KEMBE_Cleaned Data'!AOP:AOP,"local")</f>
        <v>0</v>
      </c>
      <c r="H66" s="24">
        <f>COUNTIF('KEMBE_Cleaned Data'!AOQ:AOQ,"local")</f>
        <v>0</v>
      </c>
      <c r="I66" s="25">
        <f>SUM(C66:H66)</f>
        <v>4</v>
      </c>
    </row>
    <row r="67" spans="1:9" ht="37.5" x14ac:dyDescent="0.3">
      <c r="B67" s="121" t="s">
        <v>3319</v>
      </c>
      <c r="C67" s="39">
        <f>C66/$E$7</f>
        <v>1</v>
      </c>
      <c r="D67" s="39">
        <f t="shared" ref="D67:H67" si="4">D66/$E$7</f>
        <v>0</v>
      </c>
      <c r="E67" s="39">
        <f t="shared" si="4"/>
        <v>0</v>
      </c>
      <c r="F67" s="39">
        <f t="shared" si="4"/>
        <v>0</v>
      </c>
      <c r="G67" s="39">
        <f t="shared" si="4"/>
        <v>0</v>
      </c>
      <c r="H67" s="39">
        <f t="shared" si="4"/>
        <v>0</v>
      </c>
      <c r="I67" s="128">
        <f>SUM(C67:H67)</f>
        <v>1</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COUNTIF('KEMBE_Cleaned Data'!AOJ:AOJ,"hebdo")</f>
        <v>1</v>
      </c>
      <c r="D71" s="24">
        <f>COUNTIF('KEMBE_Cleaned Data'!AOJ:AOJ,"mensuel")</f>
        <v>0</v>
      </c>
      <c r="E71" s="24">
        <f>COUNTIF('KEMBE_Cleaned Data'!AOJ:AOJ,"trimestriel")</f>
        <v>0</v>
      </c>
      <c r="F71" s="24">
        <f>COUNTIF('KEMBE_Cleaned Data'!AOJ:AOJ,"nsp")</f>
        <v>0</v>
      </c>
      <c r="G71" s="24">
        <f>COUNTIF('KEMBE_Cleaned Data'!AOJ:AOJ,"autre")</f>
        <v>3</v>
      </c>
      <c r="H71" s="25">
        <f>SUM(C71:G71)</f>
        <v>4</v>
      </c>
    </row>
    <row r="72" spans="1:9" ht="37.5" x14ac:dyDescent="0.3">
      <c r="B72" s="121" t="s">
        <v>3319</v>
      </c>
      <c r="C72" s="39">
        <f>C71/$E$7</f>
        <v>0.25</v>
      </c>
      <c r="D72" s="39">
        <f t="shared" ref="D72:G72" si="5">D71/$E$7</f>
        <v>0</v>
      </c>
      <c r="E72" s="39">
        <f t="shared" si="5"/>
        <v>0</v>
      </c>
      <c r="F72" s="39">
        <f t="shared" si="5"/>
        <v>0</v>
      </c>
      <c r="G72" s="39">
        <f t="shared" si="5"/>
        <v>0.75</v>
      </c>
      <c r="H72" s="128">
        <f>SUM(C72:G72)</f>
        <v>1</v>
      </c>
    </row>
    <row r="73" spans="1:9" x14ac:dyDescent="0.3">
      <c r="B73" s="130"/>
      <c r="C73" s="15"/>
      <c r="D73" s="15"/>
      <c r="E73" s="15"/>
      <c r="F73" s="15"/>
      <c r="G73" s="87" t="s">
        <v>3333</v>
      </c>
      <c r="H73" s="129"/>
    </row>
    <row r="74" spans="1:9" x14ac:dyDescent="0.3">
      <c r="F74" s="74"/>
    </row>
    <row r="75" spans="1:9" ht="15.5" x14ac:dyDescent="0.35">
      <c r="A75" s="29" t="s">
        <v>3324</v>
      </c>
      <c r="C75" s="103" t="s">
        <v>3245</v>
      </c>
    </row>
    <row r="76" spans="1:9" ht="70" x14ac:dyDescent="0.3">
      <c r="A76" s="24"/>
      <c r="B76" s="35" t="s">
        <v>1355</v>
      </c>
      <c r="C76" s="35" t="s">
        <v>1356</v>
      </c>
      <c r="D76" s="35" t="s">
        <v>1352</v>
      </c>
      <c r="E76" s="35" t="s">
        <v>1353</v>
      </c>
      <c r="F76" s="35" t="s">
        <v>1354</v>
      </c>
      <c r="G76" s="35" t="s">
        <v>1357</v>
      </c>
      <c r="H76" s="35" t="s">
        <v>1905</v>
      </c>
      <c r="I76" s="35" t="s">
        <v>1220</v>
      </c>
    </row>
    <row r="77" spans="1:9" x14ac:dyDescent="0.3">
      <c r="A77" s="24" t="s">
        <v>1207</v>
      </c>
      <c r="B77" s="24">
        <f>COUNTIF('KEMBE_Cleaned Data'!AOP:AOP,"1")</f>
        <v>1</v>
      </c>
      <c r="C77" s="24">
        <f>COUNTIF('KEMBE_Cleaned Data'!AOQ:AOQ,"1")</f>
        <v>2</v>
      </c>
      <c r="D77" s="24">
        <f>COUNTIF('KEMBE_Cleaned Data'!AOR:AOR,"1")</f>
        <v>0</v>
      </c>
      <c r="E77" s="24">
        <f>COUNTIF('KEMBE_Cleaned Data'!AOS:AOS,"1")</f>
        <v>1</v>
      </c>
      <c r="F77" s="24">
        <f>COUNTIF('KEMBE_Cleaned Data'!AOT:AOT,"1")</f>
        <v>0</v>
      </c>
      <c r="G77" s="24">
        <f>COUNTIF('KEMBE_Cleaned Data'!AOU:AOU,"1")</f>
        <v>0</v>
      </c>
      <c r="H77" s="24">
        <f>COUNTIF('KEMBE_Cleaned Data'!AOV:AOV,"1")</f>
        <v>0</v>
      </c>
      <c r="I77" s="24">
        <f>COUNTIF('KEMBE_Cleaned Data'!AOW:AOW,"1")</f>
        <v>0</v>
      </c>
    </row>
    <row r="78" spans="1:9" ht="26" x14ac:dyDescent="0.3">
      <c r="A78" s="121" t="s">
        <v>3319</v>
      </c>
      <c r="B78" s="39">
        <f>B77/$E$7</f>
        <v>0.25</v>
      </c>
      <c r="C78" s="39">
        <f t="shared" ref="C78:I78" si="6">C77/$E$7</f>
        <v>0.5</v>
      </c>
      <c r="D78" s="39">
        <f t="shared" si="6"/>
        <v>0</v>
      </c>
      <c r="E78" s="39">
        <f t="shared" si="6"/>
        <v>0.25</v>
      </c>
      <c r="F78" s="39">
        <f t="shared" si="6"/>
        <v>0</v>
      </c>
      <c r="G78" s="39">
        <f t="shared" si="6"/>
        <v>0</v>
      </c>
      <c r="H78" s="39">
        <f t="shared" si="6"/>
        <v>0</v>
      </c>
      <c r="I78" s="39">
        <f t="shared" si="6"/>
        <v>0</v>
      </c>
    </row>
    <row r="79" spans="1:9" x14ac:dyDescent="0.3">
      <c r="A79" s="130"/>
    </row>
    <row r="80" spans="1:9" x14ac:dyDescent="0.3">
      <c r="B80" s="18" t="s">
        <v>1358</v>
      </c>
    </row>
    <row r="81" spans="1:9" ht="42" x14ac:dyDescent="0.3">
      <c r="B81" s="24"/>
      <c r="C81" s="40" t="s">
        <v>1359</v>
      </c>
      <c r="D81" s="40" t="s">
        <v>1360</v>
      </c>
      <c r="E81" s="40" t="s">
        <v>1361</v>
      </c>
      <c r="F81" s="40" t="s">
        <v>1362</v>
      </c>
      <c r="G81" s="40" t="s">
        <v>1905</v>
      </c>
      <c r="H81" s="40" t="s">
        <v>1220</v>
      </c>
      <c r="I81" s="127" t="s">
        <v>1206</v>
      </c>
    </row>
    <row r="82" spans="1:9" x14ac:dyDescent="0.3">
      <c r="B82" s="24" t="s">
        <v>1207</v>
      </c>
      <c r="C82" s="24">
        <f>COUNTIF('KEMBE_Cleaned Data'!APA:APA,"local")</f>
        <v>2</v>
      </c>
      <c r="D82" s="24">
        <f>COUNTIF('KEMBE_Cleaned Data'!APA:APA,"proche")</f>
        <v>0</v>
      </c>
      <c r="E82" s="24">
        <f>COUNTIF('KEMBE_Cleaned Data'!APA:APA,"bangui")</f>
        <v>1</v>
      </c>
      <c r="F82" s="24">
        <f>COUNTIF('KEMBE_Cleaned Data'!APA:APA,"exterieur")</f>
        <v>0</v>
      </c>
      <c r="G82" s="24">
        <f>COUNTIF('KEMBE_Cleaned Data'!APA:APA,"nsp")</f>
        <v>0</v>
      </c>
      <c r="H82" s="24">
        <f>COUNTIF('KEMBE_Cleaned Data'!APA:APA,"autre")</f>
        <v>0</v>
      </c>
      <c r="I82" s="25">
        <f>SUM(C82:H82)</f>
        <v>3</v>
      </c>
    </row>
    <row r="83" spans="1:9" ht="37.5" x14ac:dyDescent="0.3">
      <c r="B83" s="121" t="s">
        <v>3319</v>
      </c>
      <c r="C83" s="39">
        <f>C82/$E$7</f>
        <v>0.5</v>
      </c>
      <c r="D83" s="39">
        <f t="shared" ref="D83:H83" si="7">D82/$E$7</f>
        <v>0</v>
      </c>
      <c r="E83" s="39">
        <f t="shared" si="7"/>
        <v>0.25</v>
      </c>
      <c r="F83" s="39">
        <f t="shared" si="7"/>
        <v>0</v>
      </c>
      <c r="G83" s="39">
        <f t="shared" si="7"/>
        <v>0</v>
      </c>
      <c r="H83" s="39">
        <f t="shared" si="7"/>
        <v>0</v>
      </c>
      <c r="I83" s="128">
        <f>SUM(C83:H83)</f>
        <v>0.75</v>
      </c>
    </row>
    <row r="84" spans="1:9" x14ac:dyDescent="0.3">
      <c r="H84" s="129"/>
    </row>
    <row r="85" spans="1:9" x14ac:dyDescent="0.3">
      <c r="B85" s="18" t="s">
        <v>2000</v>
      </c>
    </row>
    <row r="86" spans="1:9" ht="28" x14ac:dyDescent="0.3">
      <c r="B86" s="24"/>
      <c r="C86" s="40" t="s">
        <v>2001</v>
      </c>
      <c r="D86" s="40" t="s">
        <v>2002</v>
      </c>
      <c r="E86" s="40" t="s">
        <v>2003</v>
      </c>
      <c r="F86" s="40" t="s">
        <v>1905</v>
      </c>
      <c r="G86" s="40" t="s">
        <v>1220</v>
      </c>
      <c r="H86" s="127" t="s">
        <v>1206</v>
      </c>
    </row>
    <row r="87" spans="1:9" x14ac:dyDescent="0.3">
      <c r="B87" s="24" t="s">
        <v>1207</v>
      </c>
      <c r="C87" s="24">
        <f>COUNTIF('KEMBE_Cleaned Data'!AOY:AOY,"hebdo")</f>
        <v>0</v>
      </c>
      <c r="D87" s="24">
        <f>COUNTIF('KEMBE_Cleaned Data'!AOY:AOY,"mensuel")</f>
        <v>0</v>
      </c>
      <c r="E87" s="24">
        <f>COUNTIF('KEMBE_Cleaned Data'!AOY:AOY,"trimestriel")</f>
        <v>1</v>
      </c>
      <c r="F87" s="24">
        <f>COUNTIF('KEMBE_Cleaned Data'!AOY:AOY,"nsp")</f>
        <v>0</v>
      </c>
      <c r="G87" s="24">
        <f>COUNTIF('KEMBE_Cleaned Data'!AOY:AOY,"autre")</f>
        <v>2</v>
      </c>
      <c r="H87" s="25">
        <f>SUM(C87:G87)</f>
        <v>3</v>
      </c>
    </row>
    <row r="88" spans="1:9" ht="37.5" x14ac:dyDescent="0.3">
      <c r="B88" s="121" t="s">
        <v>3319</v>
      </c>
      <c r="C88" s="39">
        <f>C87/$E$7</f>
        <v>0</v>
      </c>
      <c r="D88" s="39">
        <f t="shared" ref="D88:G88" si="8">D87/$E$7</f>
        <v>0</v>
      </c>
      <c r="E88" s="39">
        <f t="shared" si="8"/>
        <v>0.25</v>
      </c>
      <c r="F88" s="39">
        <f t="shared" si="8"/>
        <v>0</v>
      </c>
      <c r="G88" s="39">
        <f t="shared" si="8"/>
        <v>0.5</v>
      </c>
      <c r="H88" s="128">
        <f>SUM(C88:G88)</f>
        <v>0.75</v>
      </c>
    </row>
    <row r="89" spans="1:9" x14ac:dyDescent="0.3">
      <c r="F89" s="74"/>
      <c r="G89" s="74" t="s">
        <v>2004</v>
      </c>
    </row>
    <row r="90" spans="1:9" ht="15.5" x14ac:dyDescent="0.35">
      <c r="A90" s="9" t="s">
        <v>1363</v>
      </c>
    </row>
    <row r="91" spans="1:9" x14ac:dyDescent="0.3">
      <c r="A91" s="18" t="s">
        <v>2005</v>
      </c>
    </row>
    <row r="92" spans="1:9" x14ac:dyDescent="0.3">
      <c r="A92" s="24"/>
      <c r="B92" s="8" t="s">
        <v>1210</v>
      </c>
      <c r="C92" s="8" t="s">
        <v>1209</v>
      </c>
      <c r="D92" s="127" t="s">
        <v>1206</v>
      </c>
    </row>
    <row r="93" spans="1:9" x14ac:dyDescent="0.3">
      <c r="A93" s="24" t="s">
        <v>1207</v>
      </c>
      <c r="B93" s="24">
        <f>COUNTIF('KEMBE_Cleaned Data'!APF:APF,"oui")</f>
        <v>3</v>
      </c>
      <c r="C93" s="24">
        <f>COUNTIF('KEMBE_Cleaned Data'!APF:APF,"non")</f>
        <v>1</v>
      </c>
      <c r="D93" s="25">
        <f>SUM(B93:C93)</f>
        <v>4</v>
      </c>
    </row>
    <row r="94" spans="1:9" ht="26" x14ac:dyDescent="0.3">
      <c r="A94" s="121" t="s">
        <v>3319</v>
      </c>
      <c r="B94" s="39">
        <f>(B93/$E$7)</f>
        <v>0.75</v>
      </c>
      <c r="C94" s="39">
        <f>(C93/$E$7)</f>
        <v>0.25</v>
      </c>
      <c r="D94" s="128">
        <f>SUM(B94:C94)</f>
        <v>1</v>
      </c>
    </row>
    <row r="96" spans="1:9" x14ac:dyDescent="0.3">
      <c r="B96" s="18" t="s">
        <v>2006</v>
      </c>
    </row>
    <row r="97" spans="1:9" ht="28" x14ac:dyDescent="0.3">
      <c r="B97" s="24"/>
      <c r="C97" s="11" t="s">
        <v>1307</v>
      </c>
      <c r="D97" s="11" t="s">
        <v>1308</v>
      </c>
      <c r="E97" s="11" t="s">
        <v>1309</v>
      </c>
      <c r="F97" s="11" t="s">
        <v>1225</v>
      </c>
      <c r="G97" s="127" t="s">
        <v>1206</v>
      </c>
    </row>
    <row r="98" spans="1:9" x14ac:dyDescent="0.3">
      <c r="B98" s="24" t="s">
        <v>1207</v>
      </c>
      <c r="C98" s="24">
        <f>COUNTIF('KEMBE_Cleaned Data'!APG:APG,"peu_diminue")</f>
        <v>2</v>
      </c>
      <c r="D98" s="24">
        <f>COUNTIF('KEMBE_Cleaned Data'!APG:APG,"bcp_diminue")</f>
        <v>0</v>
      </c>
      <c r="E98" s="24">
        <f>COUNTIF('KEMBE_Cleaned Data'!APG:APG,"peu_augmente")</f>
        <v>1</v>
      </c>
      <c r="F98" s="24">
        <f>COUNTIF('KEMBE_Cleaned Data'!APG:APG,"bcp_augmente")</f>
        <v>0</v>
      </c>
      <c r="G98" s="25">
        <f>SUM(C98:F98)</f>
        <v>3</v>
      </c>
    </row>
    <row r="99" spans="1:9" ht="37.5" x14ac:dyDescent="0.3">
      <c r="B99" s="121" t="s">
        <v>3325</v>
      </c>
      <c r="C99" s="39">
        <f>C98/$B$93</f>
        <v>0.66666666666666663</v>
      </c>
      <c r="D99" s="39">
        <f t="shared" ref="D99:F99" si="9">D98/$B$93</f>
        <v>0</v>
      </c>
      <c r="E99" s="39">
        <f t="shared" si="9"/>
        <v>0.33333333333333331</v>
      </c>
      <c r="F99" s="39">
        <f t="shared" si="9"/>
        <v>0</v>
      </c>
      <c r="G99" s="128">
        <f>SUM(C99:F99)</f>
        <v>1</v>
      </c>
    </row>
    <row r="100" spans="1:9" x14ac:dyDescent="0.3">
      <c r="B100" s="14"/>
    </row>
    <row r="101" spans="1:9" x14ac:dyDescent="0.3">
      <c r="B101" s="18" t="s">
        <v>1310</v>
      </c>
      <c r="D101" s="103" t="s">
        <v>3245</v>
      </c>
    </row>
    <row r="102" spans="1:9" ht="70" x14ac:dyDescent="0.3">
      <c r="B102" s="24"/>
      <c r="C102" s="11" t="s">
        <v>1315</v>
      </c>
      <c r="D102" s="11" t="s">
        <v>1364</v>
      </c>
      <c r="E102" s="11" t="s">
        <v>1365</v>
      </c>
      <c r="F102" s="11" t="s">
        <v>1366</v>
      </c>
      <c r="G102" s="11" t="s">
        <v>1367</v>
      </c>
      <c r="H102" s="11" t="s">
        <v>1905</v>
      </c>
      <c r="I102" s="11" t="s">
        <v>1220</v>
      </c>
    </row>
    <row r="103" spans="1:9" x14ac:dyDescent="0.3">
      <c r="B103" s="24" t="s">
        <v>1207</v>
      </c>
      <c r="C103" s="24">
        <f>COUNTIF('KEMBE_Cleaned Data'!APR:APR,"1")</f>
        <v>0</v>
      </c>
      <c r="D103" s="24">
        <f>COUNTIF('KEMBE_Cleaned Data'!APS:APS,"1")</f>
        <v>0</v>
      </c>
      <c r="E103" s="24">
        <f>COUNTIF('KEMBE_Cleaned Data'!APT:APT,"1")</f>
        <v>0</v>
      </c>
      <c r="F103" s="24">
        <f>COUNTIF('KEMBE_Cleaned Data'!APU:APU,"1")</f>
        <v>2</v>
      </c>
      <c r="G103" s="24">
        <f>COUNTIF('KEMBE_Cleaned Data'!APV:APV,"1")</f>
        <v>0</v>
      </c>
      <c r="H103" s="24">
        <f>COUNTIF('KEMBE_Cleaned Data'!APW:APW,"1")</f>
        <v>0</v>
      </c>
      <c r="I103" s="24">
        <f>COUNTIF('KEMBE_Cleaned Data'!APX:APX,"1")</f>
        <v>0</v>
      </c>
    </row>
    <row r="104" spans="1:9" ht="42" customHeight="1" x14ac:dyDescent="0.3">
      <c r="B104" s="121" t="s">
        <v>3326</v>
      </c>
      <c r="C104" s="39">
        <f>D103/($C$98+$D$98)</f>
        <v>0</v>
      </c>
      <c r="D104" s="39">
        <f t="shared" ref="D104:I104" si="10">E103/($C$98+$D$98)</f>
        <v>0</v>
      </c>
      <c r="E104" s="39">
        <f t="shared" si="10"/>
        <v>1</v>
      </c>
      <c r="F104" s="39">
        <f t="shared" si="10"/>
        <v>0</v>
      </c>
      <c r="G104" s="39">
        <f t="shared" si="10"/>
        <v>0</v>
      </c>
      <c r="H104" s="39">
        <f t="shared" si="10"/>
        <v>0</v>
      </c>
      <c r="I104" s="39">
        <f t="shared" si="10"/>
        <v>0</v>
      </c>
    </row>
    <row r="106" spans="1:9" x14ac:dyDescent="0.3">
      <c r="B106" s="18" t="s">
        <v>1227</v>
      </c>
      <c r="D106" s="103" t="s">
        <v>3245</v>
      </c>
    </row>
    <row r="107" spans="1:9" ht="56" x14ac:dyDescent="0.3">
      <c r="B107" s="24"/>
      <c r="C107" s="11" t="s">
        <v>1311</v>
      </c>
      <c r="D107" s="11" t="s">
        <v>1312</v>
      </c>
      <c r="E107" s="11" t="s">
        <v>2324</v>
      </c>
      <c r="F107" s="11" t="s">
        <v>2325</v>
      </c>
      <c r="G107" s="11" t="s">
        <v>2326</v>
      </c>
      <c r="H107" s="11" t="s">
        <v>1905</v>
      </c>
      <c r="I107" s="11" t="s">
        <v>1205</v>
      </c>
    </row>
    <row r="108" spans="1:9" x14ac:dyDescent="0.3">
      <c r="B108" s="24" t="s">
        <v>1207</v>
      </c>
      <c r="C108" s="24">
        <f>COUNTIF('KEMBE_Cleaned Data'!API:API,"1")</f>
        <v>0</v>
      </c>
      <c r="D108" s="24">
        <f>COUNTIF('KEMBE_Cleaned Data'!APJ:APJ,"1")</f>
        <v>1</v>
      </c>
      <c r="E108" s="24">
        <f>COUNTIF('KEMBE_Cleaned Data'!APK:APK,"1")</f>
        <v>0</v>
      </c>
      <c r="F108" s="24">
        <f>COUNTIF('KEMBE_Cleaned Data'!APL:APL,"1")</f>
        <v>0</v>
      </c>
      <c r="G108" s="24">
        <f>COUNTIF('KEMBE_Cleaned Data'!APM:APM,"1")</f>
        <v>0</v>
      </c>
      <c r="H108" s="24">
        <f>COUNTIF('KEMBE_Cleaned Data'!APN:APN,"1")</f>
        <v>0</v>
      </c>
      <c r="I108" s="24">
        <f>COUNTIF('KEMBE_Cleaned Data'!APO:APO,"1")</f>
        <v>0</v>
      </c>
    </row>
    <row r="109" spans="1:9" ht="49" x14ac:dyDescent="0.3">
      <c r="B109" s="121" t="s">
        <v>3327</v>
      </c>
      <c r="C109" s="39">
        <f>C108/($E$98+$F$98)</f>
        <v>0</v>
      </c>
      <c r="D109" s="39">
        <f t="shared" ref="D109:I109" si="11">D108/($E$98+$F$98)</f>
        <v>1</v>
      </c>
      <c r="E109" s="39">
        <f t="shared" si="11"/>
        <v>0</v>
      </c>
      <c r="F109" s="39">
        <f t="shared" si="11"/>
        <v>0</v>
      </c>
      <c r="G109" s="39">
        <f t="shared" si="11"/>
        <v>0</v>
      </c>
      <c r="H109" s="39">
        <f t="shared" si="11"/>
        <v>0</v>
      </c>
      <c r="I109" s="39">
        <f t="shared" si="11"/>
        <v>0</v>
      </c>
    </row>
    <row r="110" spans="1:9" x14ac:dyDescent="0.3">
      <c r="B110" s="14"/>
      <c r="C110" s="15"/>
      <c r="D110" s="15"/>
      <c r="E110" s="15"/>
      <c r="F110" s="15"/>
      <c r="G110" s="15"/>
      <c r="H110" s="15"/>
      <c r="I110" s="15"/>
    </row>
    <row r="111" spans="1:9" ht="15.5" x14ac:dyDescent="0.35">
      <c r="A111" s="9" t="s">
        <v>1368</v>
      </c>
    </row>
    <row r="112" spans="1:9" x14ac:dyDescent="0.3">
      <c r="A112" s="18" t="s">
        <v>2007</v>
      </c>
      <c r="B112" s="103" t="s">
        <v>3245</v>
      </c>
    </row>
    <row r="113" spans="1:8" s="36" customFormat="1" ht="42" x14ac:dyDescent="0.35">
      <c r="A113" s="75"/>
      <c r="B113" s="35" t="s">
        <v>2008</v>
      </c>
      <c r="C113" s="35" t="s">
        <v>2009</v>
      </c>
      <c r="D113" s="35" t="s">
        <v>2010</v>
      </c>
      <c r="E113" s="35" t="s">
        <v>2011</v>
      </c>
      <c r="F113" s="35" t="s">
        <v>3259</v>
      </c>
      <c r="G113" s="35" t="s">
        <v>1205</v>
      </c>
    </row>
    <row r="114" spans="1:8" x14ac:dyDescent="0.3">
      <c r="A114" s="24" t="s">
        <v>1207</v>
      </c>
      <c r="B114" s="24">
        <f>COUNTIF('KEMBE_Cleaned Data'!AQA:AQA,"1")</f>
        <v>0</v>
      </c>
      <c r="C114" s="24">
        <f>COUNTIF('KEMBE_Cleaned Data'!AQB:AQB,"1")</f>
        <v>1</v>
      </c>
      <c r="D114" s="24">
        <f>COUNTIF('KEMBE_Cleaned Data'!AQC:AQC,"1")</f>
        <v>0</v>
      </c>
      <c r="E114" s="24">
        <f>COUNTIF('KEMBE_Cleaned Data'!AQD:AQD,"1")</f>
        <v>0</v>
      </c>
      <c r="F114" s="24">
        <f>COUNTIF('KEMBE_Cleaned Data'!AQE:AQE,"1")</f>
        <v>0</v>
      </c>
      <c r="G114" s="24">
        <f>COUNTIF('KEMBE_Cleaned Data'!AQF:AQF,"1")</f>
        <v>4</v>
      </c>
    </row>
    <row r="115" spans="1:8" ht="26" x14ac:dyDescent="0.3">
      <c r="A115" s="121" t="s">
        <v>3319</v>
      </c>
      <c r="B115" s="39">
        <f>(B114/$E$7)</f>
        <v>0</v>
      </c>
      <c r="C115" s="39">
        <f t="shared" ref="C115:G115" si="12">(C114/$E$7)</f>
        <v>0.25</v>
      </c>
      <c r="D115" s="39">
        <f t="shared" si="12"/>
        <v>0</v>
      </c>
      <c r="E115" s="39">
        <f t="shared" si="12"/>
        <v>0</v>
      </c>
      <c r="F115" s="39">
        <f t="shared" si="12"/>
        <v>0</v>
      </c>
      <c r="G115" s="39">
        <f t="shared" si="12"/>
        <v>1</v>
      </c>
    </row>
    <row r="116" spans="1:8" x14ac:dyDescent="0.3">
      <c r="C116" s="74"/>
      <c r="G116" s="74" t="s">
        <v>2017</v>
      </c>
    </row>
    <row r="117" spans="1:8" x14ac:dyDescent="0.3">
      <c r="B117" s="74"/>
    </row>
    <row r="118" spans="1:8" x14ac:dyDescent="0.3">
      <c r="B118" s="18" t="s">
        <v>2012</v>
      </c>
    </row>
    <row r="119" spans="1:8" x14ac:dyDescent="0.3">
      <c r="B119" s="21">
        <f>AVERAGE('KEMBE_Cleaned Data'!AQN:AQN)</f>
        <v>100</v>
      </c>
      <c r="C119" s="21" t="s">
        <v>2015</v>
      </c>
      <c r="D119" s="74" t="s">
        <v>2014</v>
      </c>
    </row>
    <row r="121" spans="1:8" x14ac:dyDescent="0.3">
      <c r="B121" s="18" t="s">
        <v>2016</v>
      </c>
    </row>
    <row r="122" spans="1:8" x14ac:dyDescent="0.3">
      <c r="B122" s="19">
        <f>AVERAGE('KEMBE_Cleaned Data'!ARD:ARD)</f>
        <v>100000</v>
      </c>
      <c r="C122" s="21" t="s">
        <v>3334</v>
      </c>
      <c r="D122" s="74"/>
    </row>
    <row r="124" spans="1:8" x14ac:dyDescent="0.3">
      <c r="A124" s="14"/>
      <c r="B124" s="15"/>
      <c r="C124" s="15"/>
    </row>
    <row r="125" spans="1:8" ht="15.5" x14ac:dyDescent="0.35">
      <c r="A125" s="9" t="s">
        <v>1293</v>
      </c>
    </row>
    <row r="126" spans="1:8" x14ac:dyDescent="0.3">
      <c r="A126" s="18" t="s">
        <v>1370</v>
      </c>
      <c r="C126" s="103" t="s">
        <v>3245</v>
      </c>
    </row>
    <row r="127" spans="1:8" s="36" customFormat="1" ht="58.5" customHeight="1" x14ac:dyDescent="0.3">
      <c r="A127" s="24"/>
      <c r="B127" s="35" t="s">
        <v>1369</v>
      </c>
      <c r="C127" s="35" t="s">
        <v>1374</v>
      </c>
      <c r="D127" s="35" t="s">
        <v>1371</v>
      </c>
      <c r="E127" s="35" t="s">
        <v>1372</v>
      </c>
      <c r="F127" s="35" t="s">
        <v>1373</v>
      </c>
      <c r="G127" s="35" t="s">
        <v>3259</v>
      </c>
      <c r="H127" s="35" t="s">
        <v>1220</v>
      </c>
    </row>
    <row r="128" spans="1:8" x14ac:dyDescent="0.3">
      <c r="A128" s="24" t="s">
        <v>1207</v>
      </c>
      <c r="B128" s="24">
        <f>COUNTIF('KEMBE_Cleaned Data'!ARV:ARV,"1")</f>
        <v>2</v>
      </c>
      <c r="C128" s="24">
        <f>COUNTIF('KEMBE_Cleaned Data'!ARW:ARW,"1")</f>
        <v>0</v>
      </c>
      <c r="D128" s="24">
        <f>COUNTIF('KEMBE_Cleaned Data'!ARX:ARX,"1")</f>
        <v>0</v>
      </c>
      <c r="E128" s="24">
        <f>COUNTIF('KEMBE_Cleaned Data'!ARY:ARY,"1")</f>
        <v>0</v>
      </c>
      <c r="F128" s="24">
        <f>COUNTIF('KEMBE_Cleaned Data'!ARZ:ARZ,"1")</f>
        <v>0</v>
      </c>
      <c r="G128" s="24">
        <f>COUNTIF('KEMBE_Cleaned Data'!ASA:ASA,"1")</f>
        <v>0</v>
      </c>
      <c r="H128" s="24">
        <f>COUNTIF('KEMBE_Cleaned Data'!ASB:ASB,"1")</f>
        <v>2</v>
      </c>
    </row>
    <row r="129" spans="1:16" ht="26" x14ac:dyDescent="0.3">
      <c r="A129" s="121" t="s">
        <v>3316</v>
      </c>
      <c r="B129" s="39">
        <f>B128/$B$3</f>
        <v>0.5</v>
      </c>
      <c r="C129" s="39">
        <f t="shared" ref="C129:H129" si="13">C128/$B$3</f>
        <v>0</v>
      </c>
      <c r="D129" s="39">
        <f t="shared" si="13"/>
        <v>0</v>
      </c>
      <c r="E129" s="39">
        <f t="shared" si="13"/>
        <v>0</v>
      </c>
      <c r="F129" s="39">
        <f t="shared" si="13"/>
        <v>0</v>
      </c>
      <c r="G129" s="39">
        <f t="shared" si="13"/>
        <v>0</v>
      </c>
      <c r="H129" s="39">
        <f t="shared" si="13"/>
        <v>0.5</v>
      </c>
    </row>
    <row r="130" spans="1:16" x14ac:dyDescent="0.3">
      <c r="A130" s="14"/>
      <c r="H130" s="74" t="s">
        <v>2018</v>
      </c>
    </row>
    <row r="131" spans="1:16" x14ac:dyDescent="0.3">
      <c r="A131" s="18" t="s">
        <v>1375</v>
      </c>
    </row>
    <row r="132" spans="1:16" x14ac:dyDescent="0.3">
      <c r="A132" s="24"/>
      <c r="B132" s="8" t="s">
        <v>1210</v>
      </c>
      <c r="C132" s="8" t="s">
        <v>1209</v>
      </c>
      <c r="D132" s="127" t="s">
        <v>1206</v>
      </c>
    </row>
    <row r="133" spans="1:16" x14ac:dyDescent="0.3">
      <c r="A133" s="24" t="s">
        <v>1207</v>
      </c>
      <c r="B133" s="24">
        <f>COUNTIF('KEMBE_Cleaned Data'!ASD:ASD,"oui")</f>
        <v>2</v>
      </c>
      <c r="C133" s="24">
        <f>COUNTIF('KEMBE_Cleaned Data'!ASD:ASD,"non")</f>
        <v>2</v>
      </c>
      <c r="D133" s="25">
        <f>SUM(B133:C133)</f>
        <v>4</v>
      </c>
    </row>
    <row r="134" spans="1:16" ht="26" x14ac:dyDescent="0.3">
      <c r="A134" s="121" t="s">
        <v>3319</v>
      </c>
      <c r="B134" s="39">
        <f>(B133/$E$7)</f>
        <v>0.5</v>
      </c>
      <c r="C134" s="39">
        <f>(C133/$E$7)</f>
        <v>0.5</v>
      </c>
      <c r="D134" s="128">
        <f>SUM(B134:C134)</f>
        <v>1</v>
      </c>
    </row>
    <row r="136" spans="1:16" x14ac:dyDescent="0.3">
      <c r="A136" s="18" t="s">
        <v>1331</v>
      </c>
      <c r="C136" s="103" t="s">
        <v>3245</v>
      </c>
    </row>
    <row r="137" spans="1:16" x14ac:dyDescent="0.3">
      <c r="A137" s="24"/>
      <c r="B137" s="8" t="s">
        <v>1250</v>
      </c>
      <c r="C137" s="8" t="s">
        <v>1251</v>
      </c>
      <c r="D137" s="8" t="s">
        <v>1905</v>
      </c>
      <c r="E137" s="8" t="s">
        <v>1205</v>
      </c>
      <c r="F137" s="8" t="s">
        <v>1252</v>
      </c>
    </row>
    <row r="138" spans="1:16" x14ac:dyDescent="0.3">
      <c r="A138" s="24" t="s">
        <v>1207</v>
      </c>
      <c r="B138" s="3">
        <f>COUNTIF('KEMBE_Cleaned Data'!ASO:ASO,"1")</f>
        <v>0</v>
      </c>
      <c r="C138" s="3">
        <f>COUNTIF('KEMBE_Cleaned Data'!ASP:ASP,"1")</f>
        <v>0</v>
      </c>
      <c r="D138" s="3">
        <f>COUNTIF('KEMBE_Cleaned Data'!ASQ:ASQ,"1")</f>
        <v>0</v>
      </c>
      <c r="E138" s="3">
        <f>COUNTIF('KEMBE_Cleaned Data'!ASR:ASR,"1")</f>
        <v>0</v>
      </c>
      <c r="F138" s="3">
        <f>COUNTIF('KEMBE_Cleaned Data'!ASS:ASS,"1")</f>
        <v>4</v>
      </c>
    </row>
    <row r="139" spans="1:16" ht="26" x14ac:dyDescent="0.3">
      <c r="A139" s="121" t="s">
        <v>3316</v>
      </c>
      <c r="B139" s="39">
        <f>B138/$B$3</f>
        <v>0</v>
      </c>
      <c r="C139" s="39">
        <f t="shared" ref="C139:F139" si="14">C138/$B$3</f>
        <v>0</v>
      </c>
      <c r="D139" s="39">
        <f t="shared" si="14"/>
        <v>0</v>
      </c>
      <c r="E139" s="39">
        <f t="shared" si="14"/>
        <v>0</v>
      </c>
      <c r="F139" s="39">
        <f t="shared" si="14"/>
        <v>1</v>
      </c>
    </row>
    <row r="140" spans="1:16" x14ac:dyDescent="0.3">
      <c r="A140" s="14"/>
    </row>
    <row r="141" spans="1:16" ht="15.5" x14ac:dyDescent="0.35">
      <c r="A141" s="29" t="s">
        <v>1299</v>
      </c>
      <c r="C141" s="103" t="s">
        <v>3245</v>
      </c>
    </row>
    <row r="142" spans="1:16" s="36" customFormat="1" ht="70" x14ac:dyDescent="0.35">
      <c r="A142" s="35" t="s">
        <v>1475</v>
      </c>
      <c r="B142" s="35" t="s">
        <v>2019</v>
      </c>
      <c r="C142" s="35" t="s">
        <v>1376</v>
      </c>
      <c r="D142" s="35" t="s">
        <v>2023</v>
      </c>
      <c r="E142" s="35" t="s">
        <v>2024</v>
      </c>
      <c r="F142" s="35" t="s">
        <v>2020</v>
      </c>
      <c r="G142" s="35" t="s">
        <v>1377</v>
      </c>
      <c r="H142" s="35" t="s">
        <v>1378</v>
      </c>
      <c r="I142" s="35" t="s">
        <v>1379</v>
      </c>
      <c r="J142" s="35" t="s">
        <v>2021</v>
      </c>
      <c r="K142" s="35" t="s">
        <v>2022</v>
      </c>
      <c r="L142" s="35" t="s">
        <v>1380</v>
      </c>
      <c r="M142" s="35" t="s">
        <v>2025</v>
      </c>
      <c r="N142" s="35" t="s">
        <v>1381</v>
      </c>
      <c r="O142" s="35" t="s">
        <v>1905</v>
      </c>
      <c r="P142" s="35" t="s">
        <v>1205</v>
      </c>
    </row>
    <row r="143" spans="1:16" x14ac:dyDescent="0.3">
      <c r="A143" s="3">
        <f>COUNTIF('KEMBE_Cleaned Data'!ATK:ATK,"1")</f>
        <v>1</v>
      </c>
      <c r="B143" s="3">
        <f>COUNTIF('KEMBE_Cleaned Data'!ATL:ATL,"1")</f>
        <v>4</v>
      </c>
      <c r="C143" s="3">
        <f>COUNTIF('KEMBE_Cleaned Data'!ATM:ATM,"1")</f>
        <v>2</v>
      </c>
      <c r="D143" s="3">
        <f>COUNTIF('KEMBE_Cleaned Data'!ATN:ATN,"1")</f>
        <v>1</v>
      </c>
      <c r="E143" s="3">
        <f>COUNTIF('KEMBE_Cleaned Data'!ATO:ATO,"1")</f>
        <v>1</v>
      </c>
      <c r="F143" s="3">
        <f>COUNTIF('KEMBE_Cleaned Data'!ATX:ATX,"1")</f>
        <v>0</v>
      </c>
      <c r="G143" s="3">
        <f>COUNTIF('KEMBE_Cleaned Data'!ATP:ATP,"1")</f>
        <v>0</v>
      </c>
      <c r="H143" s="3">
        <f>COUNTIF('KEMBE_Cleaned Data'!ATQ:ATQ,"1")</f>
        <v>1</v>
      </c>
      <c r="I143" s="3">
        <f>COUNTIF('KEMBE_Cleaned Data'!ATR:ATR,"1")</f>
        <v>0</v>
      </c>
      <c r="J143" s="3">
        <f>COUNTIF('KEMBE_Cleaned Data'!ATS:ATS,"1")</f>
        <v>0</v>
      </c>
      <c r="K143" s="3">
        <f>COUNTIF('KEMBE_Cleaned Data'!ATU:ATU,"1")</f>
        <v>0</v>
      </c>
      <c r="L143" s="3">
        <f>COUNTIF('KEMBE_Cleaned Data'!ATV:ATV,"1")</f>
        <v>0</v>
      </c>
      <c r="M143" s="3">
        <f>COUNTIF('KEMBE_Cleaned Data'!ATW:ATW,"1")</f>
        <v>0</v>
      </c>
      <c r="N143" s="3">
        <f>COUNTIF('KEMBE_Cleaned Data'!ATY:ATY,"1")</f>
        <v>0</v>
      </c>
      <c r="O143" s="3">
        <f>COUNTIF('KEMBE_Cleaned Data'!ATZ:ATZ,"1")</f>
        <v>0</v>
      </c>
      <c r="P143" s="3">
        <f>COUNTIF('KEMBE_Cleaned Data'!AUA:AUA,"1")</f>
        <v>3</v>
      </c>
    </row>
    <row r="144" spans="1:16" x14ac:dyDescent="0.3">
      <c r="A144" s="14"/>
      <c r="B144" s="14"/>
      <c r="C144" s="14"/>
      <c r="D144" s="14"/>
      <c r="E144" s="14"/>
      <c r="F144" s="14"/>
      <c r="G144" s="14"/>
      <c r="H144" s="14"/>
      <c r="I144" s="14"/>
      <c r="J144" s="14"/>
      <c r="K144" s="14"/>
      <c r="L144" s="14"/>
      <c r="M144" s="14"/>
      <c r="N144" s="14"/>
      <c r="O144" s="14"/>
      <c r="P144" s="76" t="s">
        <v>2026</v>
      </c>
    </row>
    <row r="145" spans="1:13" ht="15.5" x14ac:dyDescent="0.35">
      <c r="A145" s="29" t="s">
        <v>1300</v>
      </c>
      <c r="C145" s="103" t="s">
        <v>3245</v>
      </c>
    </row>
    <row r="146" spans="1:13" ht="28" x14ac:dyDescent="0.3">
      <c r="A146" s="8" t="s">
        <v>1236</v>
      </c>
      <c r="B146" s="8" t="s">
        <v>1256</v>
      </c>
      <c r="C146" s="8" t="s">
        <v>1257</v>
      </c>
      <c r="D146" s="8" t="s">
        <v>1239</v>
      </c>
      <c r="E146" s="8" t="s">
        <v>1240</v>
      </c>
      <c r="F146" s="8" t="s">
        <v>1258</v>
      </c>
      <c r="G146" s="8" t="s">
        <v>1259</v>
      </c>
      <c r="H146" s="8" t="s">
        <v>1260</v>
      </c>
      <c r="I146" s="8" t="s">
        <v>1261</v>
      </c>
      <c r="J146" s="8" t="s">
        <v>1252</v>
      </c>
      <c r="K146" s="8" t="s">
        <v>3259</v>
      </c>
      <c r="L146" s="8" t="s">
        <v>1220</v>
      </c>
    </row>
    <row r="147" spans="1:13" x14ac:dyDescent="0.3">
      <c r="A147" s="24">
        <f>COUNTIF('KEMBE_Cleaned Data'!ASV:ASV,"1")</f>
        <v>2</v>
      </c>
      <c r="B147" s="24">
        <f>COUNTIF('KEMBE_Cleaned Data'!ASW:ASW,"1")</f>
        <v>0</v>
      </c>
      <c r="C147" s="24">
        <f>COUNTIF('KEMBE_Cleaned Data'!ASX:ASX,"1")</f>
        <v>0</v>
      </c>
      <c r="D147" s="24">
        <f>COUNTIF('KEMBE_Cleaned Data'!ASY:ASY,"1")</f>
        <v>0</v>
      </c>
      <c r="E147" s="24">
        <f>COUNTIF('KEMBE_Cleaned Data'!ASZ:ASZ,"1")</f>
        <v>0</v>
      </c>
      <c r="F147" s="24">
        <f>COUNTIF('KEMBE_Cleaned Data'!ATA:ATA,"1")</f>
        <v>1</v>
      </c>
      <c r="G147" s="24">
        <f>COUNTIF('KEMBE_Cleaned Data'!ATB:ATB,"1")</f>
        <v>3</v>
      </c>
      <c r="H147" s="24">
        <f>COUNTIF('KEMBE_Cleaned Data'!ATC:ATC,"1")</f>
        <v>1</v>
      </c>
      <c r="I147" s="24">
        <f>COUNTIF('KEMBE_Cleaned Data'!ATD:ATD,"1")</f>
        <v>0</v>
      </c>
      <c r="J147" s="24">
        <f>COUNTIF('KEMBE_Cleaned Data'!ATE:ATE,"1")</f>
        <v>0</v>
      </c>
      <c r="K147" s="24">
        <f>COUNTIF('KEMBE_Cleaned Data'!ATF:ATF,"1")</f>
        <v>0</v>
      </c>
      <c r="L147" s="24">
        <f>COUNTIF('KEMBE_Cleaned Data'!ATG:ATG,"1")</f>
        <v>0</v>
      </c>
    </row>
    <row r="149" spans="1:13" ht="15.5" x14ac:dyDescent="0.35">
      <c r="A149" s="29" t="s">
        <v>1334</v>
      </c>
    </row>
    <row r="150" spans="1:13" x14ac:dyDescent="0.3">
      <c r="A150" s="3"/>
      <c r="B150" s="8" t="s">
        <v>1210</v>
      </c>
      <c r="C150" s="8" t="s">
        <v>1209</v>
      </c>
      <c r="D150" s="127" t="s">
        <v>1206</v>
      </c>
    </row>
    <row r="151" spans="1:13" x14ac:dyDescent="0.3">
      <c r="A151" s="3" t="s">
        <v>1207</v>
      </c>
      <c r="B151" s="24">
        <f>COUNTIF('KEMBE_Cleaned Data'!AUC:AUC,"OUI")</f>
        <v>0</v>
      </c>
      <c r="C151" s="24">
        <f>COUNTIF('KEMBE_Cleaned Data'!AUC:AUC,"non")</f>
        <v>4</v>
      </c>
      <c r="D151" s="25">
        <f>SUM(B151:C151)</f>
        <v>4</v>
      </c>
    </row>
    <row r="152" spans="1:13" ht="26" x14ac:dyDescent="0.3">
      <c r="A152" s="121" t="s">
        <v>3316</v>
      </c>
      <c r="B152" s="7">
        <f>(B151/$B$3)</f>
        <v>0</v>
      </c>
      <c r="C152" s="7">
        <f>(C151/$B$3)</f>
        <v>1</v>
      </c>
      <c r="D152" s="128">
        <f>SUM(B152:C152)</f>
        <v>1</v>
      </c>
    </row>
    <row r="153" spans="1:13" x14ac:dyDescent="0.3">
      <c r="A153" s="130"/>
      <c r="B153" s="15"/>
      <c r="C153" s="15"/>
      <c r="D153" s="129"/>
    </row>
    <row r="154" spans="1:13" ht="15.5" x14ac:dyDescent="0.35">
      <c r="A154" s="9" t="s">
        <v>1301</v>
      </c>
      <c r="C154" s="103" t="s">
        <v>3245</v>
      </c>
    </row>
    <row r="155" spans="1:13" ht="56" x14ac:dyDescent="0.35">
      <c r="A155" s="8" t="s">
        <v>2029</v>
      </c>
      <c r="B155" s="8" t="s">
        <v>2028</v>
      </c>
      <c r="C155" s="8" t="s">
        <v>2030</v>
      </c>
      <c r="D155" s="8" t="s">
        <v>1382</v>
      </c>
      <c r="E155" s="8" t="s">
        <v>1383</v>
      </c>
      <c r="F155" s="8" t="s">
        <v>1384</v>
      </c>
      <c r="G155" s="8" t="s">
        <v>1385</v>
      </c>
      <c r="H155" s="8" t="s">
        <v>1905</v>
      </c>
      <c r="I155" s="8" t="s">
        <v>1205</v>
      </c>
      <c r="K155" s="23"/>
      <c r="L155" s="23"/>
      <c r="M155" s="23"/>
    </row>
    <row r="156" spans="1:13" ht="14.5" x14ac:dyDescent="0.35">
      <c r="A156" s="24">
        <f>COUNTIF('KEMBE_Cleaned Data'!AVH:AVH,"1")</f>
        <v>3</v>
      </c>
      <c r="B156" s="24">
        <f>COUNTIF('KEMBE_Cleaned Data'!AVI:AVI,"1")</f>
        <v>1</v>
      </c>
      <c r="C156" s="24">
        <f>COUNTIF('KEMBE_Cleaned Data'!AVJ:AVJ,"1")</f>
        <v>3</v>
      </c>
      <c r="D156" s="24">
        <f>COUNTIF('KEMBE_Cleaned Data'!AVK:AVK,"1")</f>
        <v>0</v>
      </c>
      <c r="E156" s="24">
        <f>COUNTIF('KEMBE_Cleaned Data'!AVL:AVL,"1")</f>
        <v>0</v>
      </c>
      <c r="F156" s="24">
        <f>COUNTIF('KEMBE_Cleaned Data'!AVM:AVM,"1")</f>
        <v>0</v>
      </c>
      <c r="G156" s="24">
        <f>COUNTIF('KEMBE_Cleaned Data'!AVN:AVN,"1")</f>
        <v>0</v>
      </c>
      <c r="H156" s="24">
        <f>COUNTIF('KEMBE_Cleaned Data'!AVO:AVO,"1")</f>
        <v>0</v>
      </c>
      <c r="I156" s="24">
        <f>COUNTIF('KEMBE_Cleaned Data'!AVP:AVP,"1")</f>
        <v>3</v>
      </c>
      <c r="J156"/>
      <c r="K156" s="23"/>
      <c r="L156" s="23"/>
      <c r="M156" s="23"/>
    </row>
    <row r="157" spans="1:13" x14ac:dyDescent="0.3">
      <c r="I157" s="74" t="s">
        <v>2031</v>
      </c>
    </row>
  </sheetData>
  <conditionalFormatting sqref="C35:F35">
    <cfRule type="colorScale" priority="34">
      <colorScale>
        <cfvo type="min"/>
        <cfvo type="max"/>
        <color theme="6" tint="0.79998168889431442"/>
        <color theme="5" tint="0.39997558519241921"/>
      </colorScale>
    </cfRule>
  </conditionalFormatting>
  <conditionalFormatting sqref="C40:M40">
    <cfRule type="colorScale" priority="33">
      <colorScale>
        <cfvo type="min"/>
        <cfvo type="max"/>
        <color theme="6" tint="0.79998168889431442"/>
        <color theme="5" tint="0.39997558519241921"/>
      </colorScale>
    </cfRule>
  </conditionalFormatting>
  <conditionalFormatting sqref="B61:J61">
    <cfRule type="colorScale" priority="32">
      <colorScale>
        <cfvo type="min"/>
        <cfvo type="max"/>
        <color theme="6" tint="0.79998168889431442"/>
        <color theme="5" tint="0.39997558519241921"/>
      </colorScale>
    </cfRule>
  </conditionalFormatting>
  <conditionalFormatting sqref="B68:E68 C66:H66">
    <cfRule type="colorScale" priority="31">
      <colorScale>
        <cfvo type="min"/>
        <cfvo type="max"/>
        <color theme="6" tint="0.79998168889431442"/>
        <color theme="5" tint="0.39997558519241921"/>
      </colorScale>
    </cfRule>
  </conditionalFormatting>
  <conditionalFormatting sqref="B68:G68 C66:H66">
    <cfRule type="colorScale" priority="30">
      <colorScale>
        <cfvo type="min"/>
        <cfvo type="max"/>
        <color theme="6" tint="0.79998168889431442"/>
        <color theme="5" tint="0.39997558519241921"/>
      </colorScale>
    </cfRule>
  </conditionalFormatting>
  <conditionalFormatting sqref="B77:I77">
    <cfRule type="colorScale" priority="29">
      <colorScale>
        <cfvo type="min"/>
        <cfvo type="max"/>
        <color theme="6" tint="0.79998168889431442"/>
        <color theme="5" tint="0.39997558519241921"/>
      </colorScale>
    </cfRule>
  </conditionalFormatting>
  <conditionalFormatting sqref="C82:F82">
    <cfRule type="colorScale" priority="28">
      <colorScale>
        <cfvo type="min"/>
        <cfvo type="max"/>
        <color theme="6" tint="0.79998168889431442"/>
        <color theme="5" tint="0.39997558519241921"/>
      </colorScale>
    </cfRule>
  </conditionalFormatting>
  <conditionalFormatting sqref="C82:H82">
    <cfRule type="colorScale" priority="27">
      <colorScale>
        <cfvo type="min"/>
        <cfvo type="max"/>
        <color theme="6" tint="0.79998168889431442"/>
        <color theme="5" tint="0.39997558519241921"/>
      </colorScale>
    </cfRule>
  </conditionalFormatting>
  <conditionalFormatting sqref="C98:F98">
    <cfRule type="colorScale" priority="26">
      <colorScale>
        <cfvo type="min"/>
        <cfvo type="max"/>
        <color theme="6" tint="0.79998168889431442"/>
        <color theme="5" tint="0.39997558519241921"/>
      </colorScale>
    </cfRule>
  </conditionalFormatting>
  <conditionalFormatting sqref="C103:I103">
    <cfRule type="colorScale" priority="25">
      <colorScale>
        <cfvo type="min"/>
        <cfvo type="max"/>
        <color theme="6" tint="0.79998168889431442"/>
        <color theme="5" tint="0.39997558519241921"/>
      </colorScale>
    </cfRule>
  </conditionalFormatting>
  <conditionalFormatting sqref="B55:L55">
    <cfRule type="colorScale" priority="24">
      <colorScale>
        <cfvo type="min"/>
        <cfvo type="max"/>
        <color theme="6" tint="0.79998168889431442"/>
        <color theme="5" tint="0.39997558519241921"/>
      </colorScale>
    </cfRule>
  </conditionalFormatting>
  <conditionalFormatting sqref="B128:H128">
    <cfRule type="colorScale" priority="23">
      <colorScale>
        <cfvo type="min"/>
        <cfvo type="max"/>
        <color theme="6" tint="0.79998168889431442"/>
        <color theme="5" tint="0.39997558519241921"/>
      </colorScale>
    </cfRule>
  </conditionalFormatting>
  <conditionalFormatting sqref="B138:F138">
    <cfRule type="colorScale" priority="22">
      <colorScale>
        <cfvo type="min"/>
        <cfvo type="max"/>
        <color theme="6" tint="0.79998168889431442"/>
        <color theme="5" tint="0.39997558519241921"/>
      </colorScale>
    </cfRule>
  </conditionalFormatting>
  <conditionalFormatting sqref="A147:L147">
    <cfRule type="colorScale" priority="21">
      <colorScale>
        <cfvo type="min"/>
        <cfvo type="max"/>
        <color theme="6" tint="0.79998168889431442"/>
        <color theme="5" tint="0.39997558519241921"/>
      </colorScale>
    </cfRule>
  </conditionalFormatting>
  <conditionalFormatting sqref="A143:P143 A144:O144">
    <cfRule type="colorScale" priority="20">
      <colorScale>
        <cfvo type="min"/>
        <cfvo type="max"/>
        <color theme="6" tint="0.79998168889431442"/>
        <color theme="5" tint="0.39997558519241921"/>
      </colorScale>
    </cfRule>
  </conditionalFormatting>
  <conditionalFormatting sqref="A156:I156">
    <cfRule type="colorScale" priority="19">
      <colorScale>
        <cfvo type="min"/>
        <cfvo type="max"/>
        <color theme="6" tint="0.79998168889431442"/>
        <color theme="5" tint="0.39997558519241921"/>
      </colorScale>
    </cfRule>
  </conditionalFormatting>
  <conditionalFormatting sqref="B7:D7">
    <cfRule type="colorScale" priority="18">
      <colorScale>
        <cfvo type="min"/>
        <cfvo type="max"/>
        <color theme="6" tint="0.79998168889431442"/>
        <color theme="5" tint="0.39997558519241921"/>
      </colorScale>
    </cfRule>
  </conditionalFormatting>
  <conditionalFormatting sqref="B12:C12">
    <cfRule type="colorScale" priority="17">
      <colorScale>
        <cfvo type="min"/>
        <cfvo type="max"/>
        <color theme="6" tint="0.79998168889431442"/>
        <color theme="5" tint="0.39997558519241921"/>
      </colorScale>
    </cfRule>
  </conditionalFormatting>
  <conditionalFormatting sqref="C17:D17">
    <cfRule type="colorScale" priority="16">
      <colorScale>
        <cfvo type="min"/>
        <cfvo type="max"/>
        <color theme="6" tint="0.79998168889431442"/>
        <color theme="5" tint="0.39997558519241921"/>
      </colorScale>
    </cfRule>
  </conditionalFormatting>
  <conditionalFormatting sqref="B22:I22">
    <cfRule type="colorScale" priority="15">
      <colorScale>
        <cfvo type="min"/>
        <cfvo type="max"/>
        <color theme="6" tint="0.79998168889431442"/>
        <color theme="5" tint="0.39997558519241921"/>
      </colorScale>
    </cfRule>
  </conditionalFormatting>
  <conditionalFormatting sqref="B30:C30">
    <cfRule type="colorScale" priority="14">
      <colorScale>
        <cfvo type="min"/>
        <cfvo type="max"/>
        <color theme="6" tint="0.79998168889431442"/>
        <color theme="5" tint="0.39997558519241921"/>
      </colorScale>
    </cfRule>
  </conditionalFormatting>
  <conditionalFormatting sqref="B50:C50">
    <cfRule type="colorScale" priority="13">
      <colorScale>
        <cfvo type="min"/>
        <cfvo type="max"/>
        <color theme="6" tint="0.79998168889431442"/>
        <color theme="5" tint="0.39997558519241921"/>
      </colorScale>
    </cfRule>
  </conditionalFormatting>
  <conditionalFormatting sqref="C71:F71">
    <cfRule type="colorScale" priority="12">
      <colorScale>
        <cfvo type="min"/>
        <cfvo type="max"/>
        <color theme="6" tint="0.79998168889431442"/>
        <color theme="5" tint="0.39997558519241921"/>
      </colorScale>
    </cfRule>
  </conditionalFormatting>
  <conditionalFormatting sqref="C71:G71">
    <cfRule type="colorScale" priority="11">
      <colorScale>
        <cfvo type="min"/>
        <cfvo type="max"/>
        <color theme="6" tint="0.79998168889431442"/>
        <color theme="5" tint="0.39997558519241921"/>
      </colorScale>
    </cfRule>
  </conditionalFormatting>
  <conditionalFormatting sqref="C87:F87">
    <cfRule type="colorScale" priority="10">
      <colorScale>
        <cfvo type="min"/>
        <cfvo type="max"/>
        <color theme="6" tint="0.79998168889431442"/>
        <color theme="5" tint="0.39997558519241921"/>
      </colorScale>
    </cfRule>
  </conditionalFormatting>
  <conditionalFormatting sqref="C87:G87">
    <cfRule type="colorScale" priority="9">
      <colorScale>
        <cfvo type="min"/>
        <cfvo type="max"/>
        <color theme="6" tint="0.79998168889431442"/>
        <color theme="5" tint="0.39997558519241921"/>
      </colorScale>
    </cfRule>
  </conditionalFormatting>
  <conditionalFormatting sqref="B93:C93">
    <cfRule type="colorScale" priority="8">
      <colorScale>
        <cfvo type="min"/>
        <cfvo type="max"/>
        <color theme="6" tint="0.79998168889431442"/>
        <color theme="5" tint="0.39997558519241921"/>
      </colorScale>
    </cfRule>
  </conditionalFormatting>
  <conditionalFormatting sqref="B93:C93">
    <cfRule type="colorScale" priority="7">
      <colorScale>
        <cfvo type="min"/>
        <cfvo type="max"/>
        <color theme="6" tint="0.79998168889431442"/>
        <color theme="5" tint="0.39997558519241921"/>
      </colorScale>
    </cfRule>
  </conditionalFormatting>
  <conditionalFormatting sqref="B114:G114">
    <cfRule type="colorScale" priority="6">
      <colorScale>
        <cfvo type="min"/>
        <cfvo type="max"/>
        <color theme="6" tint="0.79998168889431442"/>
        <color theme="5" tint="0.39997558519241921"/>
      </colorScale>
    </cfRule>
  </conditionalFormatting>
  <conditionalFormatting sqref="B133:C133">
    <cfRule type="colorScale" priority="5">
      <colorScale>
        <cfvo type="min"/>
        <cfvo type="max"/>
        <color theme="6" tint="0.79998168889431442"/>
        <color theme="5" tint="0.39997558519241921"/>
      </colorScale>
    </cfRule>
  </conditionalFormatting>
  <conditionalFormatting sqref="B151:C151">
    <cfRule type="colorScale" priority="4">
      <colorScale>
        <cfvo type="min"/>
        <cfvo type="max"/>
        <color theme="6" tint="0.79998168889431442"/>
        <color theme="5" tint="0.39997558519241921"/>
      </colorScale>
    </cfRule>
  </conditionalFormatting>
  <conditionalFormatting sqref="C45:K45">
    <cfRule type="colorScale" priority="3">
      <colorScale>
        <cfvo type="min"/>
        <cfvo type="max"/>
        <color theme="6" tint="0.79998168889431442"/>
        <color theme="5" tint="0.39997558519241921"/>
      </colorScale>
    </cfRule>
  </conditionalFormatting>
  <conditionalFormatting sqref="C108:I108">
    <cfRule type="colorScale" priority="2">
      <colorScale>
        <cfvo type="min"/>
        <cfvo type="max"/>
        <color theme="6" tint="0.79998168889431442"/>
        <color theme="5" tint="0.39997558519241921"/>
      </colorScale>
    </cfRule>
  </conditionalFormatting>
  <conditionalFormatting sqref="P14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VW26"/>
  <sheetViews>
    <sheetView zoomScaleNormal="100" workbookViewId="0">
      <pane xSplit="1" ySplit="5" topLeftCell="H6" activePane="bottomRight" state="frozen"/>
      <selection pane="topRight" activeCell="B1" sqref="B1"/>
      <selection pane="bottomLeft" activeCell="A6" sqref="A6"/>
      <selection pane="bottomRight" activeCell="QL55" sqref="QL55"/>
    </sheetView>
  </sheetViews>
  <sheetFormatPr defaultColWidth="8.81640625" defaultRowHeight="14" x14ac:dyDescent="0.3"/>
  <cols>
    <col min="1" max="1" width="26.08984375" style="1" customWidth="1"/>
    <col min="2" max="7" width="8.81640625" style="1"/>
    <col min="8" max="8" width="8.81640625" style="1" bestFit="1" customWidth="1"/>
    <col min="9" max="12" width="8.81640625" style="1"/>
    <col min="13" max="13" width="19.6328125" style="1" customWidth="1"/>
    <col min="14" max="14" width="8.81640625" style="1"/>
    <col min="15" max="19" width="8.81640625" style="1" bestFit="1" customWidth="1"/>
    <col min="20" max="21" width="8.81640625" style="1"/>
    <col min="22" max="22" width="8.81640625" style="1" bestFit="1" customWidth="1"/>
    <col min="23" max="42" width="8.81640625" style="1"/>
    <col min="43" max="43" width="8.81640625" style="1" bestFit="1" customWidth="1"/>
    <col min="44" max="50" width="8.81640625" style="1"/>
    <col min="51" max="58" width="8.81640625" style="1" bestFit="1" customWidth="1"/>
    <col min="59" max="69" width="8.81640625" style="1"/>
    <col min="70" max="81" width="8.81640625" style="1" bestFit="1" customWidth="1"/>
    <col min="82" max="123" width="8.81640625" style="1"/>
    <col min="124" max="128" width="8.81640625" style="1" bestFit="1" customWidth="1"/>
    <col min="129" max="130" width="8.81640625" style="1"/>
    <col min="131" max="143" width="8.81640625" style="1" bestFit="1" customWidth="1"/>
    <col min="144" max="145" width="8.81640625" style="1"/>
    <col min="146" max="158" width="8.81640625" style="1" bestFit="1" customWidth="1"/>
    <col min="159" max="161" width="8.81640625" style="1"/>
    <col min="162" max="168" width="8.81640625" style="1" bestFit="1" customWidth="1"/>
    <col min="169" max="170" width="8.81640625" style="1"/>
    <col min="171" max="183" width="8.81640625" style="1" bestFit="1" customWidth="1"/>
    <col min="184" max="186" width="8.81640625" style="1"/>
    <col min="187" max="191" width="8.81640625" style="1" bestFit="1" customWidth="1"/>
    <col min="192" max="193" width="8.81640625" style="1"/>
    <col min="194" max="206" width="8.81640625" style="1" bestFit="1" customWidth="1"/>
    <col min="207" max="403" width="8.81640625" style="1"/>
    <col min="404" max="404" width="8.81640625" style="1" bestFit="1" customWidth="1"/>
    <col min="405" max="432" width="8.81640625" style="1"/>
    <col min="433" max="433" width="8.81640625" style="1" bestFit="1" customWidth="1"/>
    <col min="434" max="446" width="8.81640625" style="1"/>
    <col min="447" max="460" width="8.81640625" style="1" bestFit="1" customWidth="1"/>
    <col min="461" max="463" width="8.81640625" style="1"/>
    <col min="464" max="469" width="8.81640625" style="1" bestFit="1" customWidth="1"/>
    <col min="470" max="472" width="8.81640625" style="1"/>
    <col min="473" max="477" width="8.81640625" style="1" bestFit="1" customWidth="1"/>
    <col min="478" max="478" width="8.81640625" style="1"/>
    <col min="479" max="479" width="8.81640625" style="1" bestFit="1" customWidth="1"/>
    <col min="480" max="482" width="8.81640625" style="1"/>
    <col min="483" max="492" width="8.81640625" style="1" bestFit="1" customWidth="1"/>
    <col min="493" max="503" width="8.81640625" style="1"/>
    <col min="504" max="511" width="8.81640625" style="1" bestFit="1" customWidth="1"/>
    <col min="512" max="512" width="8.81640625" style="1"/>
    <col min="513" max="524" width="8.81640625" style="1" bestFit="1" customWidth="1"/>
    <col min="525" max="527" width="8.81640625" style="1"/>
    <col min="528" max="531" width="8.81640625" style="1" bestFit="1" customWidth="1"/>
    <col min="532" max="556" width="8.81640625" style="1"/>
    <col min="557" max="561" width="8.81640625" style="1" bestFit="1" customWidth="1"/>
    <col min="562" max="566" width="8.81640625" style="1"/>
    <col min="567" max="582" width="8.81640625" style="1" bestFit="1" customWidth="1"/>
    <col min="583" max="584" width="8.81640625" style="1"/>
    <col min="585" max="597" width="8.81640625" style="1" bestFit="1" customWidth="1"/>
    <col min="598" max="600" width="8.81640625" style="1"/>
    <col min="601" max="607" width="8.81640625" style="1" bestFit="1" customWidth="1"/>
    <col min="608" max="609" width="8.81640625" style="1"/>
    <col min="610" max="622" width="8.81640625" style="1" bestFit="1" customWidth="1"/>
    <col min="623" max="632" width="8.81640625" style="1"/>
    <col min="633" max="645" width="8.81640625" style="1" bestFit="1" customWidth="1"/>
    <col min="646" max="649" width="8.81640625" style="1"/>
    <col min="650" max="657" width="8.81640625" style="1" bestFit="1" customWidth="1"/>
    <col min="658" max="663" width="8.81640625" style="1"/>
    <col min="664" max="671" width="8.81640625" style="1" bestFit="1" customWidth="1"/>
    <col min="672" max="674" width="8.81640625" style="1"/>
    <col min="675" max="679" width="8.81640625" style="1" bestFit="1" customWidth="1"/>
    <col min="680" max="681" width="8.81640625" style="1"/>
    <col min="682" max="682" width="8.81640625" style="1" bestFit="1" customWidth="1"/>
    <col min="683" max="687" width="8.81640625" style="1"/>
    <col min="688" max="688" width="8.81640625" style="1" bestFit="1" customWidth="1"/>
    <col min="689" max="694" width="8.81640625" style="1"/>
    <col min="695" max="695" width="21.6328125" style="1" customWidth="1"/>
    <col min="696" max="696" width="8.81640625" style="1" bestFit="1" customWidth="1"/>
    <col min="697" max="699" width="8.81640625" style="1"/>
    <col min="700" max="700" width="8.81640625" style="1" bestFit="1" customWidth="1"/>
    <col min="701" max="707" width="8.81640625" style="1"/>
    <col min="708" max="715" width="8.81640625" style="1" bestFit="1" customWidth="1"/>
    <col min="716" max="739" width="8.81640625" style="1"/>
    <col min="740" max="744" width="8.81640625" style="1" bestFit="1" customWidth="1"/>
    <col min="745" max="746" width="8.81640625" style="1"/>
    <col min="747" max="758" width="8.81640625" style="1" bestFit="1" customWidth="1"/>
    <col min="759" max="759" width="8.81640625" style="1"/>
    <col min="760" max="760" width="8.81640625" style="1" bestFit="1" customWidth="1"/>
    <col min="761" max="761" width="8.81640625" style="1"/>
    <col min="762" max="762" width="8.81640625" style="1" bestFit="1" customWidth="1"/>
    <col min="763" max="763" width="8.81640625" style="1"/>
    <col min="764" max="767" width="8.81640625" style="1" bestFit="1" customWidth="1"/>
    <col min="768" max="773" width="8.81640625" style="1"/>
    <col min="774" max="778" width="8.81640625" style="1" bestFit="1" customWidth="1"/>
    <col min="779" max="779" width="8.81640625" style="1"/>
    <col min="780" max="781" width="8.81640625" style="1" bestFit="1" customWidth="1"/>
    <col min="782" max="784" width="8.81640625" style="1"/>
    <col min="785" max="791" width="8.81640625" style="1" bestFit="1" customWidth="1"/>
    <col min="792" max="802" width="8.81640625" style="1"/>
    <col min="803" max="807" width="8.81640625" style="1" bestFit="1" customWidth="1"/>
    <col min="808" max="819" width="8.81640625" style="1"/>
    <col min="820" max="825" width="8.81640625" style="1" bestFit="1" customWidth="1"/>
    <col min="826" max="826" width="8.81640625" style="1"/>
    <col min="827" max="831" width="8.81640625" style="1" bestFit="1" customWidth="1"/>
    <col min="832" max="849" width="8.81640625" style="1"/>
    <col min="850" max="854" width="8.81640625" style="1" bestFit="1" customWidth="1"/>
    <col min="855" max="858" width="8.81640625" style="1"/>
    <col min="859" max="863" width="8.81640625" style="1" bestFit="1" customWidth="1"/>
    <col min="864" max="874" width="8.81640625" style="1"/>
    <col min="875" max="875" width="8.81640625" style="1" bestFit="1" customWidth="1"/>
    <col min="876" max="876" width="8.81640625" style="1"/>
    <col min="877" max="882" width="8.81640625" style="1" bestFit="1" customWidth="1"/>
    <col min="883" max="907" width="8.81640625" style="1"/>
    <col min="908" max="912" width="8.81640625" style="1" bestFit="1" customWidth="1"/>
    <col min="913" max="914" width="8.81640625" style="1"/>
    <col min="915" max="925" width="8.81640625" style="1" bestFit="1" customWidth="1"/>
    <col min="926" max="927" width="8.81640625" style="1"/>
    <col min="928" max="940" width="8.81640625" style="1" bestFit="1" customWidth="1"/>
    <col min="941" max="943" width="8.81640625" style="1"/>
    <col min="944" max="950" width="8.81640625" style="1" bestFit="1" customWidth="1"/>
    <col min="951" max="952" width="8.81640625" style="1"/>
    <col min="953" max="964" width="8.81640625" style="1" bestFit="1" customWidth="1"/>
    <col min="965" max="974" width="8.81640625" style="1"/>
    <col min="975" max="986" width="8.81640625" style="1" bestFit="1" customWidth="1"/>
    <col min="987" max="988" width="8.81640625" style="1"/>
    <col min="989" max="989" width="8.81640625" style="1" bestFit="1" customWidth="1"/>
    <col min="990" max="1010" width="8.81640625" style="1"/>
    <col min="1011" max="1018" width="8.81640625" style="1" bestFit="1" customWidth="1"/>
    <col min="1019" max="1020" width="8.81640625" style="1"/>
    <col min="1021" max="1027" width="8.81640625" style="1" bestFit="1" customWidth="1"/>
    <col min="1028" max="1028" width="8.81640625" style="1"/>
    <col min="1029" max="1033" width="8.81640625" style="1" bestFit="1" customWidth="1"/>
    <col min="1034" max="1035" width="8.81640625" style="1"/>
    <col min="1036" max="1036" width="8.81640625" style="1" bestFit="1" customWidth="1"/>
    <col min="1037" max="1037" width="8.81640625" style="1"/>
    <col min="1038" max="1043" width="8.81640625" style="1" bestFit="1" customWidth="1"/>
    <col min="1044" max="1044" width="8.81640625" style="1"/>
    <col min="1045" max="1045" width="8.81640625" style="1" bestFit="1" customWidth="1"/>
    <col min="1046" max="1048" width="8.81640625" style="1"/>
    <col min="1049" max="1057" width="8.81640625" style="1" bestFit="1" customWidth="1"/>
    <col min="1058" max="1074" width="8.81640625" style="1"/>
    <col min="1075" max="1082" width="8.81640625" style="1" bestFit="1" customWidth="1"/>
    <col min="1083" max="1089" width="8.81640625" style="1"/>
    <col min="1090" max="1097" width="8.81640625" style="1" bestFit="1" customWidth="1"/>
    <col min="1098" max="1102" width="8.81640625" style="1"/>
    <col min="1103" max="1104" width="8.81640625" style="1" bestFit="1" customWidth="1"/>
    <col min="1105" max="1108" width="8.81640625" style="1"/>
    <col min="1109" max="1115" width="8.81640625" style="1" bestFit="1" customWidth="1"/>
    <col min="1116" max="1126" width="8.81640625" style="1"/>
    <col min="1127" max="1132" width="8.81640625" style="1" bestFit="1" customWidth="1"/>
    <col min="1133" max="1134" width="8.81640625" style="1"/>
    <col min="1135" max="1135" width="8.81640625" style="1" bestFit="1" customWidth="1"/>
    <col min="1136" max="1155" width="8.81640625" style="1"/>
    <col min="1156" max="1156" width="8.81640625" style="1" bestFit="1" customWidth="1"/>
    <col min="1157" max="1159" width="8.81640625" style="1"/>
    <col min="1160" max="1171" width="8.81640625" style="1" bestFit="1" customWidth="1"/>
    <col min="1172" max="1173" width="8.81640625" style="1"/>
    <col min="1174" max="1180" width="8.81640625" style="1" bestFit="1" customWidth="1"/>
    <col min="1181" max="1183" width="8.81640625" style="1"/>
    <col min="1184" max="1190" width="8.81640625" style="1" bestFit="1" customWidth="1"/>
    <col min="1191" max="1192" width="8.81640625" style="1"/>
    <col min="1193" max="1197" width="8.81640625" style="1" bestFit="1" customWidth="1"/>
    <col min="1198" max="1199" width="8.81640625" style="1"/>
    <col min="1200" max="1212" width="8.81640625" style="1" bestFit="1" customWidth="1"/>
    <col min="1213" max="1214" width="8.81640625" style="1"/>
    <col min="1215" max="1231" width="8.81640625" style="1" bestFit="1" customWidth="1"/>
    <col min="1232" max="1263" width="8.81640625" style="1"/>
    <col min="1264" max="1271" width="8.81640625" style="1" bestFit="1" customWidth="1"/>
    <col min="1272" max="16384" width="8.81640625" style="1"/>
  </cols>
  <sheetData>
    <row r="1" spans="1:1271"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X1" s="1" t="s">
        <v>192</v>
      </c>
      <c r="GY1" s="1" t="s">
        <v>1549</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1"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ht="14.5" x14ac:dyDescent="0.35">
      <c r="A2" s="1" t="s">
        <v>2091</v>
      </c>
      <c r="B2" s="1" t="s">
        <v>2092</v>
      </c>
      <c r="C2" s="1" t="s">
        <v>2093</v>
      </c>
      <c r="D2" s="1" t="s">
        <v>2094</v>
      </c>
      <c r="E2" s="1" t="s">
        <v>1832</v>
      </c>
      <c r="F2" s="1" t="s">
        <v>2094</v>
      </c>
      <c r="H2" s="2"/>
      <c r="I2" s="1" t="s">
        <v>1659</v>
      </c>
      <c r="J2" s="1" t="s">
        <v>2095</v>
      </c>
      <c r="K2" s="1" t="s">
        <v>2095</v>
      </c>
      <c r="M2"/>
      <c r="N2" s="1" t="s">
        <v>1389</v>
      </c>
      <c r="O2" s="2">
        <v>0</v>
      </c>
      <c r="P2" s="2">
        <v>0</v>
      </c>
      <c r="Q2" s="2">
        <v>0</v>
      </c>
      <c r="R2" s="2">
        <v>1</v>
      </c>
      <c r="S2" s="2">
        <v>0</v>
      </c>
      <c r="OK2" s="1" t="s">
        <v>2096</v>
      </c>
      <c r="OM2" s="1" t="s">
        <v>2116</v>
      </c>
      <c r="ON2" s="1" t="s">
        <v>1156</v>
      </c>
      <c r="PL2" s="1" t="s">
        <v>2097</v>
      </c>
      <c r="PR2" s="1" t="s">
        <v>1155</v>
      </c>
      <c r="PU2" s="1" t="s">
        <v>1156</v>
      </c>
      <c r="PV2" s="1" t="s">
        <v>2098</v>
      </c>
      <c r="PX2" s="1" t="s">
        <v>1155</v>
      </c>
      <c r="PZ2" s="1" t="s">
        <v>2099</v>
      </c>
      <c r="QA2" s="2">
        <v>1</v>
      </c>
      <c r="QB2" s="2">
        <v>0</v>
      </c>
      <c r="QC2" s="2">
        <v>0</v>
      </c>
      <c r="QD2" s="2">
        <v>0</v>
      </c>
      <c r="QE2" s="2">
        <v>0</v>
      </c>
      <c r="QF2" s="2">
        <v>1</v>
      </c>
      <c r="QG2" s="2">
        <v>1</v>
      </c>
      <c r="QH2" s="2">
        <v>0</v>
      </c>
      <c r="QI2" s="2">
        <v>0</v>
      </c>
      <c r="QJ2" s="2">
        <v>1</v>
      </c>
      <c r="QK2" s="2">
        <v>1</v>
      </c>
      <c r="QL2" s="2">
        <v>0</v>
      </c>
      <c r="QM2" s="2">
        <v>0</v>
      </c>
      <c r="QN2" s="2">
        <v>1</v>
      </c>
      <c r="QP2" s="1" t="s">
        <v>1156</v>
      </c>
      <c r="QQ2" s="1" t="s">
        <v>2100</v>
      </c>
      <c r="QR2" s="2">
        <v>0</v>
      </c>
      <c r="QS2" s="2">
        <v>1</v>
      </c>
      <c r="QT2" s="2">
        <v>0</v>
      </c>
      <c r="QU2" s="2">
        <v>0</v>
      </c>
      <c r="QV2" s="2">
        <v>1</v>
      </c>
      <c r="QW2" s="2">
        <v>1</v>
      </c>
      <c r="QY2" s="1" t="s">
        <v>1155</v>
      </c>
      <c r="RG2" s="2">
        <v>50</v>
      </c>
      <c r="RH2" s="1" t="s">
        <v>1156</v>
      </c>
      <c r="RI2" s="1" t="s">
        <v>1157</v>
      </c>
      <c r="RJ2" s="1" t="s">
        <v>2101</v>
      </c>
      <c r="RK2" s="2">
        <v>0</v>
      </c>
      <c r="RL2" s="2">
        <v>1</v>
      </c>
      <c r="RM2" s="2">
        <v>1</v>
      </c>
      <c r="RN2" s="2">
        <v>0</v>
      </c>
      <c r="RO2" s="2">
        <v>0</v>
      </c>
      <c r="RP2" s="2">
        <v>0</v>
      </c>
      <c r="RQ2" s="2">
        <v>0</v>
      </c>
      <c r="RR2" s="2">
        <v>0</v>
      </c>
      <c r="RS2" s="2">
        <v>0</v>
      </c>
      <c r="RT2" s="2">
        <v>0</v>
      </c>
      <c r="SE2" s="1" t="s">
        <v>1812</v>
      </c>
      <c r="SF2" s="58">
        <v>4</v>
      </c>
      <c r="SG2" s="2">
        <v>1</v>
      </c>
      <c r="SH2" s="2">
        <v>2</v>
      </c>
      <c r="SI2" s="2">
        <v>0</v>
      </c>
      <c r="SJ2" s="2">
        <v>0</v>
      </c>
      <c r="SK2" s="2">
        <v>0</v>
      </c>
      <c r="SL2" s="2">
        <v>0</v>
      </c>
      <c r="SM2" s="2">
        <v>1</v>
      </c>
      <c r="SN2" s="1" t="s">
        <v>1158</v>
      </c>
      <c r="SO2" s="2">
        <v>0</v>
      </c>
      <c r="SP2" s="2">
        <v>0</v>
      </c>
      <c r="SQ2" s="2">
        <v>0</v>
      </c>
      <c r="SR2" s="2">
        <v>0</v>
      </c>
      <c r="SS2" s="2">
        <v>0</v>
      </c>
      <c r="ST2" s="2">
        <v>1</v>
      </c>
      <c r="SU2" s="2">
        <v>0</v>
      </c>
      <c r="SV2" s="2">
        <v>0</v>
      </c>
      <c r="SW2" s="2">
        <v>0</v>
      </c>
      <c r="SX2" s="2">
        <v>0</v>
      </c>
      <c r="SY2" s="2">
        <v>0</v>
      </c>
      <c r="SZ2" s="2">
        <v>0</v>
      </c>
      <c r="TB2" s="1" t="s">
        <v>2102</v>
      </c>
      <c r="TC2" s="1" t="s">
        <v>1154</v>
      </c>
      <c r="TD2" s="2">
        <v>0</v>
      </c>
      <c r="TE2" s="2">
        <v>0</v>
      </c>
      <c r="TF2" s="2">
        <v>0</v>
      </c>
      <c r="TG2" s="2">
        <v>1</v>
      </c>
      <c r="TI2" s="1" t="s">
        <v>2338</v>
      </c>
      <c r="TJ2" s="1" t="s">
        <v>1155</v>
      </c>
      <c r="UF2" s="1" t="s">
        <v>1397</v>
      </c>
      <c r="UG2" s="2">
        <v>1</v>
      </c>
      <c r="UH2" s="2">
        <v>0</v>
      </c>
      <c r="UI2" s="2">
        <v>0</v>
      </c>
      <c r="UJ2" s="2">
        <v>0</v>
      </c>
      <c r="UK2" s="2">
        <v>0</v>
      </c>
      <c r="UM2" s="1" t="s">
        <v>2103</v>
      </c>
      <c r="UO2" s="1" t="s">
        <v>1155</v>
      </c>
      <c r="UP2" s="1" t="s">
        <v>2104</v>
      </c>
      <c r="UQ2" s="2">
        <v>0</v>
      </c>
      <c r="UR2" s="2">
        <v>0</v>
      </c>
      <c r="US2" s="2">
        <v>1</v>
      </c>
      <c r="UT2" s="2">
        <v>1</v>
      </c>
      <c r="UU2" s="2">
        <v>0</v>
      </c>
      <c r="UV2" s="2">
        <v>0</v>
      </c>
      <c r="UW2" s="2">
        <v>1</v>
      </c>
      <c r="UX2" s="2">
        <v>0</v>
      </c>
      <c r="UY2" s="2">
        <v>1</v>
      </c>
      <c r="UZ2" s="2">
        <v>0</v>
      </c>
      <c r="VA2" s="2">
        <v>1</v>
      </c>
      <c r="VB2" s="2">
        <v>0</v>
      </c>
      <c r="VC2" s="2">
        <v>0</v>
      </c>
      <c r="VD2" s="2">
        <v>0</v>
      </c>
      <c r="VE2" s="2">
        <v>0</v>
      </c>
      <c r="VF2" s="2">
        <v>0</v>
      </c>
      <c r="VH2" s="1" t="s">
        <v>2105</v>
      </c>
      <c r="VI2" s="2">
        <v>0</v>
      </c>
      <c r="VJ2" s="2">
        <v>1</v>
      </c>
      <c r="VK2" s="2">
        <v>0</v>
      </c>
      <c r="VL2" s="2">
        <v>0</v>
      </c>
      <c r="VM2" s="2">
        <v>1</v>
      </c>
      <c r="VN2" s="2">
        <v>0</v>
      </c>
      <c r="VO2" s="2">
        <v>0</v>
      </c>
      <c r="VP2" s="2">
        <v>1</v>
      </c>
      <c r="VQ2" s="2">
        <v>0</v>
      </c>
      <c r="VR2" s="2">
        <v>0</v>
      </c>
      <c r="VS2" s="2">
        <v>0</v>
      </c>
      <c r="VT2" s="2">
        <v>0</v>
      </c>
      <c r="VU2" s="2">
        <v>0</v>
      </c>
      <c r="VW2" s="1" t="s">
        <v>1156</v>
      </c>
      <c r="VX2" s="1" t="s">
        <v>1154</v>
      </c>
      <c r="VY2" s="2">
        <v>0</v>
      </c>
      <c r="VZ2" s="2">
        <v>0</v>
      </c>
      <c r="WA2" s="2">
        <v>0</v>
      </c>
      <c r="WB2" s="2">
        <v>0</v>
      </c>
      <c r="WC2" s="2">
        <v>0</v>
      </c>
      <c r="WD2" s="2">
        <v>0</v>
      </c>
      <c r="WE2" s="2">
        <v>1</v>
      </c>
      <c r="WF2" s="1" t="s">
        <v>2117</v>
      </c>
      <c r="WG2" s="1" t="s">
        <v>2106</v>
      </c>
      <c r="WH2" s="2">
        <v>1</v>
      </c>
      <c r="WI2" s="2">
        <v>0</v>
      </c>
      <c r="WJ2" s="2">
        <v>1</v>
      </c>
      <c r="WK2" s="2">
        <v>0</v>
      </c>
      <c r="WL2" s="2">
        <v>0</v>
      </c>
      <c r="WM2" s="2">
        <v>0</v>
      </c>
      <c r="WN2" s="2">
        <v>0</v>
      </c>
      <c r="WO2" s="2">
        <v>0</v>
      </c>
      <c r="WP2" s="2">
        <v>0</v>
      </c>
      <c r="WQ2" s="2">
        <v>0</v>
      </c>
      <c r="WR2" s="2">
        <v>1</v>
      </c>
      <c r="WS2" s="2">
        <v>0</v>
      </c>
      <c r="WT2" s="2">
        <v>0</v>
      </c>
      <c r="WV2" s="1" t="s">
        <v>1156</v>
      </c>
      <c r="XD2" s="1" t="s">
        <v>2107</v>
      </c>
      <c r="XE2" s="2">
        <v>0</v>
      </c>
      <c r="XF2" s="2">
        <v>0</v>
      </c>
      <c r="XG2" s="2">
        <v>0</v>
      </c>
      <c r="XH2" s="2">
        <v>1</v>
      </c>
      <c r="XI2" s="2">
        <v>1</v>
      </c>
      <c r="XJ2" s="2">
        <v>0</v>
      </c>
      <c r="XK2" s="2">
        <v>1</v>
      </c>
      <c r="XL2" s="2">
        <v>1</v>
      </c>
      <c r="XM2" s="2">
        <v>1</v>
      </c>
      <c r="XN2" s="2">
        <v>1</v>
      </c>
      <c r="XO2" s="2">
        <v>1</v>
      </c>
      <c r="XP2" s="2">
        <v>0</v>
      </c>
      <c r="XQ2" s="2">
        <v>0</v>
      </c>
      <c r="XT2" s="1" t="s">
        <v>1155</v>
      </c>
      <c r="YE2" s="1" t="s">
        <v>1156</v>
      </c>
      <c r="YF2" s="1" t="s">
        <v>1156</v>
      </c>
      <c r="YG2" s="1" t="s">
        <v>1155</v>
      </c>
      <c r="YH2" s="1" t="s">
        <v>1156</v>
      </c>
      <c r="YI2" s="1" t="s">
        <v>2108</v>
      </c>
      <c r="YJ2" s="2">
        <v>0</v>
      </c>
      <c r="YK2" s="2">
        <v>0</v>
      </c>
      <c r="YL2" s="2">
        <v>1</v>
      </c>
      <c r="YM2" s="2">
        <v>1</v>
      </c>
      <c r="YN2" s="2">
        <v>0</v>
      </c>
      <c r="YO2" s="2">
        <v>0</v>
      </c>
      <c r="YP2" s="2">
        <v>0</v>
      </c>
      <c r="YQ2" s="2">
        <v>0</v>
      </c>
      <c r="YS2" s="1" t="s">
        <v>1155</v>
      </c>
      <c r="ZA2" s="1" t="s">
        <v>1156</v>
      </c>
      <c r="ZB2" s="2" t="s">
        <v>1162</v>
      </c>
      <c r="ZF2" s="1" t="s">
        <v>1155</v>
      </c>
      <c r="ZH2" s="2">
        <v>5</v>
      </c>
      <c r="ZI2" s="1" t="s">
        <v>2109</v>
      </c>
      <c r="ZK2" s="1" t="s">
        <v>1156</v>
      </c>
      <c r="ZL2" s="1" t="s">
        <v>1155</v>
      </c>
      <c r="ZN2" s="1" t="s">
        <v>1156</v>
      </c>
      <c r="ZO2" s="1" t="s">
        <v>1156</v>
      </c>
      <c r="ZP2" s="2">
        <v>4</v>
      </c>
      <c r="ZQ2" s="1" t="s">
        <v>1155</v>
      </c>
      <c r="AVT2" s="1">
        <v>134464092</v>
      </c>
      <c r="AVU2" s="1" t="s">
        <v>2110</v>
      </c>
      <c r="AVW2" s="1">
        <v>176</v>
      </c>
    </row>
    <row r="3" spans="1:1271" ht="14.5" x14ac:dyDescent="0.35">
      <c r="A3" s="1" t="s">
        <v>2111</v>
      </c>
      <c r="B3" s="1" t="s">
        <v>2112</v>
      </c>
      <c r="C3" s="1" t="s">
        <v>2113</v>
      </c>
      <c r="D3" s="1" t="s">
        <v>2114</v>
      </c>
      <c r="E3" s="1" t="s">
        <v>2115</v>
      </c>
      <c r="F3" s="1" t="s">
        <v>2094</v>
      </c>
      <c r="H3" s="2"/>
      <c r="I3" s="1" t="s">
        <v>1659</v>
      </c>
      <c r="J3" s="1" t="s">
        <v>2095</v>
      </c>
      <c r="K3" s="1" t="s">
        <v>2095</v>
      </c>
      <c r="M3"/>
      <c r="N3" s="1" t="s">
        <v>1389</v>
      </c>
      <c r="O3" s="2">
        <v>0</v>
      </c>
      <c r="P3" s="2">
        <v>0</v>
      </c>
      <c r="Q3" s="2">
        <v>0</v>
      </c>
      <c r="R3" s="2">
        <v>1</v>
      </c>
      <c r="S3" s="2">
        <v>0</v>
      </c>
      <c r="OK3" s="1" t="s">
        <v>2096</v>
      </c>
      <c r="OM3" s="1" t="s">
        <v>2116</v>
      </c>
      <c r="ON3" s="1" t="s">
        <v>1156</v>
      </c>
      <c r="PL3" s="1" t="s">
        <v>2097</v>
      </c>
      <c r="PR3" s="1" t="s">
        <v>1155</v>
      </c>
      <c r="PU3" s="1" t="s">
        <v>1156</v>
      </c>
      <c r="PV3" s="1" t="s">
        <v>2098</v>
      </c>
      <c r="PX3" s="1" t="s">
        <v>1155</v>
      </c>
      <c r="PZ3" s="1" t="s">
        <v>2099</v>
      </c>
      <c r="QA3" s="2">
        <v>1</v>
      </c>
      <c r="QB3" s="2">
        <v>0</v>
      </c>
      <c r="QC3" s="2">
        <v>0</v>
      </c>
      <c r="QD3" s="2">
        <v>0</v>
      </c>
      <c r="QE3" s="2">
        <v>0</v>
      </c>
      <c r="QF3" s="2">
        <v>1</v>
      </c>
      <c r="QG3" s="2">
        <v>1</v>
      </c>
      <c r="QH3" s="2">
        <v>0</v>
      </c>
      <c r="QI3" s="2">
        <v>0</v>
      </c>
      <c r="QJ3" s="2">
        <v>1</v>
      </c>
      <c r="QK3" s="2">
        <v>1</v>
      </c>
      <c r="QL3" s="2">
        <v>0</v>
      </c>
      <c r="QM3" s="2">
        <v>0</v>
      </c>
      <c r="QN3" s="2">
        <v>1</v>
      </c>
      <c r="QP3" s="1" t="s">
        <v>1156</v>
      </c>
      <c r="QQ3" s="1" t="s">
        <v>2100</v>
      </c>
      <c r="QR3" s="2">
        <v>0</v>
      </c>
      <c r="QS3" s="2">
        <v>1</v>
      </c>
      <c r="QT3" s="2">
        <v>0</v>
      </c>
      <c r="QU3" s="2">
        <v>0</v>
      </c>
      <c r="QV3" s="2">
        <v>1</v>
      </c>
      <c r="QW3" s="2">
        <v>1</v>
      </c>
      <c r="QY3" s="1" t="s">
        <v>1155</v>
      </c>
      <c r="RG3" s="2">
        <v>50</v>
      </c>
      <c r="RH3" s="1" t="s">
        <v>1156</v>
      </c>
      <c r="RI3" s="1" t="s">
        <v>1157</v>
      </c>
      <c r="RJ3" s="1" t="s">
        <v>2101</v>
      </c>
      <c r="RK3" s="2">
        <v>0</v>
      </c>
      <c r="RL3" s="2">
        <v>1</v>
      </c>
      <c r="RM3" s="2">
        <v>1</v>
      </c>
      <c r="RN3" s="2">
        <v>0</v>
      </c>
      <c r="RO3" s="2">
        <v>0</v>
      </c>
      <c r="RP3" s="2">
        <v>0</v>
      </c>
      <c r="RQ3" s="2">
        <v>0</v>
      </c>
      <c r="RR3" s="2">
        <v>0</v>
      </c>
      <c r="RS3" s="2">
        <v>0</v>
      </c>
      <c r="RT3" s="2">
        <v>0</v>
      </c>
      <c r="SE3" s="1" t="s">
        <v>1812</v>
      </c>
      <c r="SF3" s="58">
        <v>4</v>
      </c>
      <c r="SG3" s="2">
        <v>1</v>
      </c>
      <c r="SH3" s="2">
        <v>2</v>
      </c>
      <c r="SI3" s="2">
        <v>0</v>
      </c>
      <c r="SJ3" s="2">
        <v>0</v>
      </c>
      <c r="SK3" s="2">
        <v>0</v>
      </c>
      <c r="SL3" s="2">
        <v>0</v>
      </c>
      <c r="SM3" s="2">
        <v>1</v>
      </c>
      <c r="SN3" s="1" t="s">
        <v>1158</v>
      </c>
      <c r="SO3" s="2">
        <v>0</v>
      </c>
      <c r="SP3" s="2">
        <v>0</v>
      </c>
      <c r="SQ3" s="2">
        <v>0</v>
      </c>
      <c r="SR3" s="2">
        <v>0</v>
      </c>
      <c r="SS3" s="2">
        <v>0</v>
      </c>
      <c r="ST3" s="2">
        <v>1</v>
      </c>
      <c r="SU3" s="2">
        <v>0</v>
      </c>
      <c r="SV3" s="2">
        <v>0</v>
      </c>
      <c r="SW3" s="2">
        <v>0</v>
      </c>
      <c r="SX3" s="2">
        <v>0</v>
      </c>
      <c r="SY3" s="2">
        <v>0</v>
      </c>
      <c r="SZ3" s="2">
        <v>0</v>
      </c>
      <c r="TB3" s="1" t="s">
        <v>2102</v>
      </c>
      <c r="TC3" s="1" t="s">
        <v>1154</v>
      </c>
      <c r="TD3" s="2">
        <v>0</v>
      </c>
      <c r="TE3" s="2">
        <v>0</v>
      </c>
      <c r="TF3" s="2">
        <v>0</v>
      </c>
      <c r="TG3" s="2">
        <v>1</v>
      </c>
      <c r="TI3" s="1" t="s">
        <v>2338</v>
      </c>
      <c r="TJ3" s="1" t="s">
        <v>1155</v>
      </c>
      <c r="UF3" s="1" t="s">
        <v>1397</v>
      </c>
      <c r="UG3" s="2">
        <v>1</v>
      </c>
      <c r="UH3" s="2">
        <v>0</v>
      </c>
      <c r="UI3" s="2">
        <v>0</v>
      </c>
      <c r="UJ3" s="2">
        <v>0</v>
      </c>
      <c r="UK3" s="2">
        <v>0</v>
      </c>
      <c r="UM3" s="1" t="s">
        <v>2103</v>
      </c>
      <c r="UO3" s="1" t="s">
        <v>1155</v>
      </c>
      <c r="UP3" s="1" t="s">
        <v>2104</v>
      </c>
      <c r="UQ3" s="2">
        <v>0</v>
      </c>
      <c r="UR3" s="2">
        <v>0</v>
      </c>
      <c r="US3" s="2">
        <v>1</v>
      </c>
      <c r="UT3" s="2">
        <v>1</v>
      </c>
      <c r="UU3" s="2">
        <v>0</v>
      </c>
      <c r="UV3" s="2">
        <v>0</v>
      </c>
      <c r="UW3" s="2">
        <v>1</v>
      </c>
      <c r="UX3" s="2">
        <v>0</v>
      </c>
      <c r="UY3" s="2">
        <v>1</v>
      </c>
      <c r="UZ3" s="2">
        <v>0</v>
      </c>
      <c r="VA3" s="2">
        <v>1</v>
      </c>
      <c r="VB3" s="2">
        <v>0</v>
      </c>
      <c r="VC3" s="2">
        <v>0</v>
      </c>
      <c r="VD3" s="2">
        <v>0</v>
      </c>
      <c r="VE3" s="2">
        <v>0</v>
      </c>
      <c r="VF3" s="2">
        <v>0</v>
      </c>
      <c r="VH3" s="1" t="s">
        <v>2105</v>
      </c>
      <c r="VI3" s="2">
        <v>0</v>
      </c>
      <c r="VJ3" s="2">
        <v>1</v>
      </c>
      <c r="VK3" s="2">
        <v>0</v>
      </c>
      <c r="VL3" s="2">
        <v>0</v>
      </c>
      <c r="VM3" s="2">
        <v>1</v>
      </c>
      <c r="VN3" s="2">
        <v>0</v>
      </c>
      <c r="VO3" s="2">
        <v>0</v>
      </c>
      <c r="VP3" s="2">
        <v>1</v>
      </c>
      <c r="VQ3" s="2">
        <v>0</v>
      </c>
      <c r="VR3" s="2">
        <v>0</v>
      </c>
      <c r="VS3" s="2">
        <v>0</v>
      </c>
      <c r="VT3" s="2">
        <v>0</v>
      </c>
      <c r="VU3" s="2">
        <v>0</v>
      </c>
      <c r="VW3" s="1" t="s">
        <v>1156</v>
      </c>
      <c r="VX3" s="1" t="s">
        <v>1154</v>
      </c>
      <c r="VY3" s="2">
        <v>0</v>
      </c>
      <c r="VZ3" s="2">
        <v>0</v>
      </c>
      <c r="WA3" s="2">
        <v>0</v>
      </c>
      <c r="WB3" s="2">
        <v>0</v>
      </c>
      <c r="WC3" s="2">
        <v>0</v>
      </c>
      <c r="WD3" s="2">
        <v>0</v>
      </c>
      <c r="WE3" s="2">
        <v>1</v>
      </c>
      <c r="WF3" s="1" t="s">
        <v>2117</v>
      </c>
      <c r="WG3" s="1" t="s">
        <v>2106</v>
      </c>
      <c r="WH3" s="2">
        <v>1</v>
      </c>
      <c r="WI3" s="2">
        <v>0</v>
      </c>
      <c r="WJ3" s="2">
        <v>1</v>
      </c>
      <c r="WK3" s="2">
        <v>0</v>
      </c>
      <c r="WL3" s="2">
        <v>0</v>
      </c>
      <c r="WM3" s="2">
        <v>0</v>
      </c>
      <c r="WN3" s="2">
        <v>0</v>
      </c>
      <c r="WO3" s="2">
        <v>0</v>
      </c>
      <c r="WP3" s="2">
        <v>0</v>
      </c>
      <c r="WQ3" s="2">
        <v>0</v>
      </c>
      <c r="WR3" s="2">
        <v>1</v>
      </c>
      <c r="WS3" s="2">
        <v>0</v>
      </c>
      <c r="WT3" s="2">
        <v>0</v>
      </c>
      <c r="WV3" s="1" t="s">
        <v>1156</v>
      </c>
      <c r="XD3" s="1" t="s">
        <v>2118</v>
      </c>
      <c r="XE3" s="2">
        <v>0</v>
      </c>
      <c r="XF3" s="2">
        <v>0</v>
      </c>
      <c r="XG3" s="2">
        <v>0</v>
      </c>
      <c r="XH3" s="2">
        <v>1</v>
      </c>
      <c r="XI3" s="2">
        <v>1</v>
      </c>
      <c r="XJ3" s="2">
        <v>1</v>
      </c>
      <c r="XK3" s="2">
        <v>1</v>
      </c>
      <c r="XL3" s="2">
        <v>1</v>
      </c>
      <c r="XM3" s="2">
        <v>1</v>
      </c>
      <c r="XN3" s="2">
        <v>1</v>
      </c>
      <c r="XO3" s="2">
        <v>1</v>
      </c>
      <c r="XP3" s="2">
        <v>0</v>
      </c>
      <c r="XQ3" s="2">
        <v>0</v>
      </c>
      <c r="XT3" s="1" t="s">
        <v>1155</v>
      </c>
      <c r="YE3" s="1" t="s">
        <v>1156</v>
      </c>
      <c r="YF3" s="1" t="s">
        <v>1156</v>
      </c>
      <c r="YG3" s="1" t="s">
        <v>1155</v>
      </c>
      <c r="YH3" s="1" t="s">
        <v>1156</v>
      </c>
      <c r="YI3" s="1" t="s">
        <v>2108</v>
      </c>
      <c r="YJ3" s="2">
        <v>0</v>
      </c>
      <c r="YK3" s="2">
        <v>0</v>
      </c>
      <c r="YL3" s="2">
        <v>1</v>
      </c>
      <c r="YM3" s="2">
        <v>1</v>
      </c>
      <c r="YN3" s="2">
        <v>0</v>
      </c>
      <c r="YO3" s="2">
        <v>0</v>
      </c>
      <c r="YP3" s="2">
        <v>0</v>
      </c>
      <c r="YQ3" s="2">
        <v>0</v>
      </c>
      <c r="YS3" s="1" t="s">
        <v>1155</v>
      </c>
      <c r="ZA3" s="1" t="s">
        <v>1156</v>
      </c>
      <c r="ZB3" s="2" t="s">
        <v>1162</v>
      </c>
      <c r="ZF3" s="1" t="s">
        <v>1155</v>
      </c>
      <c r="ZH3" s="2">
        <v>5</v>
      </c>
      <c r="ZI3" s="1" t="s">
        <v>2109</v>
      </c>
      <c r="ZK3" s="1" t="s">
        <v>1156</v>
      </c>
      <c r="ZL3" s="1" t="s">
        <v>1155</v>
      </c>
      <c r="ZN3" s="1" t="s">
        <v>1156</v>
      </c>
      <c r="ZO3" s="1" t="s">
        <v>1156</v>
      </c>
      <c r="ZP3" s="2">
        <v>4</v>
      </c>
      <c r="ZQ3" s="1" t="s">
        <v>1155</v>
      </c>
      <c r="AVT3" s="1">
        <v>134464353</v>
      </c>
      <c r="AVU3" s="1" t="s">
        <v>2119</v>
      </c>
      <c r="AVW3" s="1">
        <v>177</v>
      </c>
    </row>
    <row r="4" spans="1:1271" ht="14.5" x14ac:dyDescent="0.35">
      <c r="A4" s="1" t="s">
        <v>2120</v>
      </c>
      <c r="B4" s="1" t="s">
        <v>2121</v>
      </c>
      <c r="C4" s="1" t="s">
        <v>2122</v>
      </c>
      <c r="D4" s="1" t="s">
        <v>2094</v>
      </c>
      <c r="E4" s="1" t="s">
        <v>1658</v>
      </c>
      <c r="F4" s="1" t="s">
        <v>2094</v>
      </c>
      <c r="H4" s="2"/>
      <c r="I4" s="1" t="s">
        <v>1659</v>
      </c>
      <c r="J4" s="1" t="s">
        <v>2095</v>
      </c>
      <c r="K4" s="1" t="s">
        <v>2095</v>
      </c>
      <c r="M4"/>
      <c r="N4" s="1" t="s">
        <v>1160</v>
      </c>
      <c r="O4" s="2">
        <v>0</v>
      </c>
      <c r="P4" s="2">
        <v>0</v>
      </c>
      <c r="Q4" s="2">
        <v>0</v>
      </c>
      <c r="R4" s="2">
        <v>0</v>
      </c>
      <c r="S4" s="2">
        <v>1</v>
      </c>
      <c r="AKT4" s="1" t="s">
        <v>2123</v>
      </c>
      <c r="AKU4" s="1" t="s">
        <v>1156</v>
      </c>
      <c r="ALF4" s="1" t="s">
        <v>1156</v>
      </c>
      <c r="ALG4" s="1" t="s">
        <v>1156</v>
      </c>
      <c r="ALN4" s="1" t="s">
        <v>2124</v>
      </c>
      <c r="ALO4" s="2">
        <v>1</v>
      </c>
      <c r="ALP4" s="2">
        <v>1</v>
      </c>
      <c r="ALQ4" s="2">
        <v>1</v>
      </c>
      <c r="ALR4" s="2">
        <v>0</v>
      </c>
      <c r="ALS4" s="2">
        <v>1</v>
      </c>
      <c r="ALT4" s="2">
        <v>0</v>
      </c>
      <c r="ALU4" s="2">
        <v>0</v>
      </c>
      <c r="ALV4" s="2">
        <v>0</v>
      </c>
      <c r="ALX4" s="1" t="s">
        <v>1165</v>
      </c>
      <c r="ALY4" s="2">
        <v>1</v>
      </c>
      <c r="ALZ4" s="2">
        <v>1</v>
      </c>
      <c r="AMA4" s="2">
        <v>1</v>
      </c>
      <c r="AMB4" s="2">
        <v>1</v>
      </c>
      <c r="AMC4" s="2">
        <v>1</v>
      </c>
      <c r="AMD4" s="2">
        <v>1</v>
      </c>
      <c r="AME4" s="2">
        <v>1</v>
      </c>
      <c r="AMF4" s="1" t="s">
        <v>2125</v>
      </c>
      <c r="AMG4" s="2">
        <v>0</v>
      </c>
      <c r="AMH4" s="2">
        <v>1</v>
      </c>
      <c r="AMI4" s="2">
        <v>0</v>
      </c>
      <c r="AMJ4" s="2">
        <v>0</v>
      </c>
      <c r="AMK4" s="2">
        <v>0</v>
      </c>
      <c r="AMM4" s="1" t="s">
        <v>1156</v>
      </c>
      <c r="AMN4" s="2">
        <v>2</v>
      </c>
      <c r="AMO4" s="1" t="s">
        <v>2126</v>
      </c>
      <c r="AMP4" s="2">
        <v>0</v>
      </c>
      <c r="AMQ4" s="2">
        <v>1</v>
      </c>
      <c r="AMR4" s="2">
        <v>0</v>
      </c>
      <c r="AMS4" s="2">
        <v>0</v>
      </c>
      <c r="AMT4" s="2">
        <v>0</v>
      </c>
      <c r="AMU4" s="2">
        <v>0</v>
      </c>
      <c r="AMW4" s="2">
        <v>40</v>
      </c>
      <c r="AMX4" s="1" t="s">
        <v>1155</v>
      </c>
      <c r="ANX4" s="1" t="s">
        <v>1155</v>
      </c>
      <c r="ANZ4" s="1" t="s">
        <v>1396</v>
      </c>
      <c r="AOA4" s="2">
        <v>1</v>
      </c>
      <c r="AOB4" s="2">
        <v>1</v>
      </c>
      <c r="AOC4" s="2">
        <v>0</v>
      </c>
      <c r="AOD4" s="2">
        <v>0</v>
      </c>
      <c r="AOE4" s="2">
        <v>0</v>
      </c>
      <c r="AOF4" s="2">
        <v>0</v>
      </c>
      <c r="AOG4" s="2">
        <v>0</v>
      </c>
      <c r="AOH4" s="2">
        <v>0</v>
      </c>
      <c r="AOJ4" s="1" t="s">
        <v>1154</v>
      </c>
      <c r="AOK4" s="1" t="s">
        <v>2127</v>
      </c>
      <c r="AOL4" s="1" t="s">
        <v>2128</v>
      </c>
      <c r="AOO4" s="1" t="s">
        <v>1396</v>
      </c>
      <c r="AOP4" s="2">
        <v>1</v>
      </c>
      <c r="AOQ4" s="2">
        <v>1</v>
      </c>
      <c r="AOR4" s="2">
        <v>0</v>
      </c>
      <c r="AOS4" s="2">
        <v>0</v>
      </c>
      <c r="AOT4" s="2">
        <v>0</v>
      </c>
      <c r="AOU4" s="2">
        <v>0</v>
      </c>
      <c r="AOV4" s="2">
        <v>0</v>
      </c>
      <c r="AOW4" s="2">
        <v>0</v>
      </c>
      <c r="AOY4" s="1" t="s">
        <v>1154</v>
      </c>
      <c r="AOZ4" s="1" t="s">
        <v>2127</v>
      </c>
      <c r="APA4" s="1" t="s">
        <v>1168</v>
      </c>
      <c r="APD4" s="1" t="s">
        <v>1398</v>
      </c>
      <c r="APF4" s="1" t="s">
        <v>1155</v>
      </c>
      <c r="APZ4" s="1" t="s">
        <v>1154</v>
      </c>
      <c r="AQA4" s="2">
        <v>0</v>
      </c>
      <c r="AQB4" s="2">
        <v>0</v>
      </c>
      <c r="AQC4" s="2">
        <v>0</v>
      </c>
      <c r="AQD4" s="2">
        <v>0</v>
      </c>
      <c r="AQE4" s="2">
        <v>0</v>
      </c>
      <c r="AQF4" s="2">
        <v>1</v>
      </c>
      <c r="ARA4" s="1" t="s">
        <v>2129</v>
      </c>
      <c r="ARB4" s="1" t="s">
        <v>1154</v>
      </c>
      <c r="ARC4" s="1" t="s">
        <v>2130</v>
      </c>
      <c r="ARD4" s="2">
        <v>20000</v>
      </c>
      <c r="ARE4" s="1" t="s">
        <v>1532</v>
      </c>
      <c r="ARG4" s="1" t="s">
        <v>1163</v>
      </c>
      <c r="ARH4" s="2">
        <v>0</v>
      </c>
      <c r="ARI4" s="2">
        <v>1</v>
      </c>
      <c r="ARJ4" s="2">
        <v>0</v>
      </c>
      <c r="ARK4" s="2">
        <v>0</v>
      </c>
      <c r="ARL4" s="2">
        <v>0</v>
      </c>
      <c r="ARM4" s="2">
        <v>0</v>
      </c>
      <c r="ARN4" s="2">
        <v>0</v>
      </c>
      <c r="ARO4" s="2">
        <v>0</v>
      </c>
      <c r="ARP4" s="2">
        <v>0</v>
      </c>
      <c r="ARQ4" s="2">
        <v>0</v>
      </c>
      <c r="ARR4" s="2">
        <v>0</v>
      </c>
      <c r="ARS4" s="2">
        <v>0</v>
      </c>
      <c r="ARU4" s="1" t="s">
        <v>1163</v>
      </c>
      <c r="ARV4" s="2">
        <v>1</v>
      </c>
      <c r="ARW4" s="2">
        <v>0</v>
      </c>
      <c r="ARX4" s="2">
        <v>0</v>
      </c>
      <c r="ARY4" s="2">
        <v>0</v>
      </c>
      <c r="ARZ4" s="2">
        <v>0</v>
      </c>
      <c r="ASA4" s="2">
        <v>0</v>
      </c>
      <c r="ASB4" s="2">
        <v>0</v>
      </c>
      <c r="ASD4" s="1" t="s">
        <v>1156</v>
      </c>
      <c r="ASE4" s="1" t="s">
        <v>1395</v>
      </c>
      <c r="ASF4" s="2">
        <v>1</v>
      </c>
      <c r="ASG4" s="2">
        <v>0</v>
      </c>
      <c r="ASH4" s="2">
        <v>0</v>
      </c>
      <c r="ASI4" s="2">
        <v>0</v>
      </c>
      <c r="ASJ4" s="2">
        <v>0</v>
      </c>
      <c r="ASK4" s="2">
        <v>0</v>
      </c>
      <c r="ASL4" s="2">
        <v>0</v>
      </c>
      <c r="ASN4" s="1" t="s">
        <v>1164</v>
      </c>
      <c r="ASO4" s="2">
        <v>0</v>
      </c>
      <c r="ASP4" s="2">
        <v>0</v>
      </c>
      <c r="ASQ4" s="2">
        <v>0</v>
      </c>
      <c r="ASR4" s="2">
        <v>0</v>
      </c>
      <c r="ASS4" s="2">
        <v>1</v>
      </c>
      <c r="ASU4" s="1" t="s">
        <v>1163</v>
      </c>
      <c r="ASV4" s="2">
        <v>1</v>
      </c>
      <c r="ASW4" s="2">
        <v>0</v>
      </c>
      <c r="ASX4" s="2">
        <v>0</v>
      </c>
      <c r="ASY4" s="2">
        <v>0</v>
      </c>
      <c r="ASZ4" s="2">
        <v>0</v>
      </c>
      <c r="ATA4" s="2">
        <v>0</v>
      </c>
      <c r="ATB4" s="2">
        <v>0</v>
      </c>
      <c r="ATC4" s="2">
        <v>0</v>
      </c>
      <c r="ATD4" s="2">
        <v>0</v>
      </c>
      <c r="ATE4" s="2">
        <v>0</v>
      </c>
      <c r="ATF4" s="2">
        <v>0</v>
      </c>
      <c r="ATG4" s="2">
        <v>0</v>
      </c>
      <c r="ATH4" s="2">
        <v>0</v>
      </c>
      <c r="ATJ4" s="1" t="s">
        <v>2131</v>
      </c>
      <c r="ATK4" s="2">
        <v>1</v>
      </c>
      <c r="ATL4" s="2">
        <v>1</v>
      </c>
      <c r="ATM4" s="2">
        <v>1</v>
      </c>
      <c r="ATN4" s="2">
        <v>1</v>
      </c>
      <c r="ATO4" s="2">
        <v>1</v>
      </c>
      <c r="ATP4" s="2">
        <v>0</v>
      </c>
      <c r="ATQ4" s="2">
        <v>0</v>
      </c>
      <c r="ATR4" s="2">
        <v>0</v>
      </c>
      <c r="ATS4" s="2">
        <v>0</v>
      </c>
      <c r="ATT4" s="2">
        <v>0</v>
      </c>
      <c r="ATU4" s="2">
        <v>0</v>
      </c>
      <c r="ATV4" s="2">
        <v>1</v>
      </c>
      <c r="ATW4" s="2">
        <v>0</v>
      </c>
      <c r="ATX4" s="2">
        <v>1</v>
      </c>
      <c r="ATY4" s="2">
        <v>0</v>
      </c>
      <c r="ATZ4" s="2">
        <v>0</v>
      </c>
      <c r="AUA4" s="2">
        <v>0</v>
      </c>
      <c r="AUC4" s="1" t="s">
        <v>1155</v>
      </c>
      <c r="AVG4" s="1" t="s">
        <v>2132</v>
      </c>
      <c r="AVH4" s="2">
        <v>0</v>
      </c>
      <c r="AVI4" s="2">
        <v>1</v>
      </c>
      <c r="AVJ4" s="2">
        <v>1</v>
      </c>
      <c r="AVK4" s="2">
        <v>1</v>
      </c>
      <c r="AVL4" s="2">
        <v>1</v>
      </c>
      <c r="AVM4" s="2">
        <v>1</v>
      </c>
      <c r="AVN4" s="2">
        <v>0</v>
      </c>
      <c r="AVO4" s="2">
        <v>0</v>
      </c>
      <c r="AVP4" s="2">
        <v>0</v>
      </c>
      <c r="AVT4" s="1">
        <v>134464418</v>
      </c>
      <c r="AVU4" s="1" t="s">
        <v>2133</v>
      </c>
      <c r="AVW4" s="1">
        <v>178</v>
      </c>
    </row>
    <row r="5" spans="1:1271" ht="14.5" x14ac:dyDescent="0.35">
      <c r="A5" s="1" t="s">
        <v>2134</v>
      </c>
      <c r="B5" s="1" t="s">
        <v>2135</v>
      </c>
      <c r="C5" s="1" t="s">
        <v>2136</v>
      </c>
      <c r="D5" s="1" t="s">
        <v>2094</v>
      </c>
      <c r="E5" s="1" t="s">
        <v>1808</v>
      </c>
      <c r="F5" s="1" t="s">
        <v>2094</v>
      </c>
      <c r="H5" s="2"/>
      <c r="I5" s="1" t="s">
        <v>1659</v>
      </c>
      <c r="J5" s="1" t="s">
        <v>2095</v>
      </c>
      <c r="K5" s="1" t="s">
        <v>2095</v>
      </c>
      <c r="M5"/>
      <c r="N5" s="1" t="s">
        <v>1389</v>
      </c>
      <c r="O5" s="2">
        <v>0</v>
      </c>
      <c r="P5" s="2">
        <v>0</v>
      </c>
      <c r="Q5" s="2">
        <v>0</v>
      </c>
      <c r="R5" s="2">
        <v>1</v>
      </c>
      <c r="S5" s="2">
        <v>0</v>
      </c>
      <c r="OK5" s="1" t="s">
        <v>2096</v>
      </c>
      <c r="OM5" s="1" t="s">
        <v>2116</v>
      </c>
      <c r="ON5" s="1" t="s">
        <v>1156</v>
      </c>
      <c r="PL5" s="1" t="s">
        <v>2097</v>
      </c>
      <c r="PR5" s="1" t="s">
        <v>1155</v>
      </c>
      <c r="PU5" s="1" t="s">
        <v>1156</v>
      </c>
      <c r="PV5" s="1" t="s">
        <v>2098</v>
      </c>
      <c r="PX5" s="1" t="s">
        <v>1155</v>
      </c>
      <c r="PZ5" s="1" t="s">
        <v>2137</v>
      </c>
      <c r="QA5" s="2">
        <v>0</v>
      </c>
      <c r="QB5" s="2">
        <v>0</v>
      </c>
      <c r="QC5" s="2">
        <v>0</v>
      </c>
      <c r="QD5" s="2">
        <v>0</v>
      </c>
      <c r="QE5" s="2">
        <v>0</v>
      </c>
      <c r="QF5" s="2">
        <v>0</v>
      </c>
      <c r="QG5" s="2">
        <v>0</v>
      </c>
      <c r="QH5" s="2">
        <v>0</v>
      </c>
      <c r="QI5" s="2">
        <v>0</v>
      </c>
      <c r="QJ5" s="2">
        <v>0</v>
      </c>
      <c r="QK5" s="2">
        <v>0</v>
      </c>
      <c r="QL5" s="2">
        <v>0</v>
      </c>
      <c r="QM5" s="2">
        <v>0</v>
      </c>
      <c r="QN5" s="2">
        <v>1</v>
      </c>
      <c r="QP5" s="1" t="s">
        <v>1156</v>
      </c>
      <c r="QQ5" s="1" t="s">
        <v>2100</v>
      </c>
      <c r="QR5" s="2">
        <v>0</v>
      </c>
      <c r="QS5" s="2">
        <v>1</v>
      </c>
      <c r="QT5" s="2">
        <v>0</v>
      </c>
      <c r="QU5" s="2">
        <v>0</v>
      </c>
      <c r="QV5" s="2">
        <v>1</v>
      </c>
      <c r="QW5" s="2">
        <v>1</v>
      </c>
      <c r="QY5" s="1" t="s">
        <v>1155</v>
      </c>
      <c r="RG5" s="2">
        <v>50</v>
      </c>
      <c r="RH5" s="1" t="s">
        <v>1156</v>
      </c>
      <c r="RI5" s="1" t="s">
        <v>1157</v>
      </c>
      <c r="RJ5" s="1" t="s">
        <v>2101</v>
      </c>
      <c r="RK5" s="2">
        <v>0</v>
      </c>
      <c r="RL5" s="2">
        <v>1</v>
      </c>
      <c r="RM5" s="2">
        <v>1</v>
      </c>
      <c r="RN5" s="2">
        <v>0</v>
      </c>
      <c r="RO5" s="2">
        <v>0</v>
      </c>
      <c r="RP5" s="2">
        <v>0</v>
      </c>
      <c r="RQ5" s="2">
        <v>0</v>
      </c>
      <c r="RR5" s="2">
        <v>0</v>
      </c>
      <c r="RS5" s="2">
        <v>0</v>
      </c>
      <c r="RT5" s="2">
        <v>0</v>
      </c>
      <c r="SE5" s="1" t="s">
        <v>1812</v>
      </c>
      <c r="SF5" s="58">
        <v>4</v>
      </c>
      <c r="SG5" s="2">
        <v>1</v>
      </c>
      <c r="SH5" s="2">
        <v>2</v>
      </c>
      <c r="SI5" s="2">
        <v>0</v>
      </c>
      <c r="SJ5" s="2">
        <v>0</v>
      </c>
      <c r="SK5" s="2">
        <v>0</v>
      </c>
      <c r="SL5" s="2">
        <v>0</v>
      </c>
      <c r="SM5" s="2">
        <v>1</v>
      </c>
      <c r="SN5" s="1" t="s">
        <v>1158</v>
      </c>
      <c r="SO5" s="2">
        <v>0</v>
      </c>
      <c r="SP5" s="2">
        <v>0</v>
      </c>
      <c r="SQ5" s="2">
        <v>0</v>
      </c>
      <c r="SR5" s="2">
        <v>0</v>
      </c>
      <c r="SS5" s="2">
        <v>0</v>
      </c>
      <c r="ST5" s="2">
        <v>1</v>
      </c>
      <c r="SU5" s="2">
        <v>0</v>
      </c>
      <c r="SV5" s="2">
        <v>0</v>
      </c>
      <c r="SW5" s="2">
        <v>0</v>
      </c>
      <c r="SX5" s="2">
        <v>0</v>
      </c>
      <c r="SY5" s="2">
        <v>0</v>
      </c>
      <c r="SZ5" s="2">
        <v>0</v>
      </c>
      <c r="TB5" s="1" t="s">
        <v>2102</v>
      </c>
      <c r="TC5" s="1" t="s">
        <v>1154</v>
      </c>
      <c r="TD5" s="2">
        <v>0</v>
      </c>
      <c r="TE5" s="2">
        <v>0</v>
      </c>
      <c r="TF5" s="2">
        <v>0</v>
      </c>
      <c r="TG5" s="2">
        <v>1</v>
      </c>
      <c r="TI5" s="1" t="s">
        <v>2138</v>
      </c>
      <c r="TJ5" s="1" t="s">
        <v>1155</v>
      </c>
      <c r="UF5" s="1" t="s">
        <v>1397</v>
      </c>
      <c r="UG5" s="2">
        <v>1</v>
      </c>
      <c r="UH5" s="2">
        <v>0</v>
      </c>
      <c r="UI5" s="2">
        <v>0</v>
      </c>
      <c r="UJ5" s="2">
        <v>0</v>
      </c>
      <c r="UK5" s="2">
        <v>0</v>
      </c>
      <c r="UM5" s="1" t="s">
        <v>2103</v>
      </c>
      <c r="UO5" s="1" t="s">
        <v>1155</v>
      </c>
      <c r="UP5" s="1" t="s">
        <v>2104</v>
      </c>
      <c r="UQ5" s="2">
        <v>0</v>
      </c>
      <c r="UR5" s="2">
        <v>0</v>
      </c>
      <c r="US5" s="2">
        <v>1</v>
      </c>
      <c r="UT5" s="2">
        <v>1</v>
      </c>
      <c r="UU5" s="2">
        <v>0</v>
      </c>
      <c r="UV5" s="2">
        <v>0</v>
      </c>
      <c r="UW5" s="2">
        <v>1</v>
      </c>
      <c r="UX5" s="2">
        <v>0</v>
      </c>
      <c r="UY5" s="2">
        <v>1</v>
      </c>
      <c r="UZ5" s="2">
        <v>0</v>
      </c>
      <c r="VA5" s="2">
        <v>1</v>
      </c>
      <c r="VB5" s="2">
        <v>0</v>
      </c>
      <c r="VC5" s="2">
        <v>0</v>
      </c>
      <c r="VD5" s="2">
        <v>0</v>
      </c>
      <c r="VE5" s="2">
        <v>0</v>
      </c>
      <c r="VF5" s="2">
        <v>0</v>
      </c>
      <c r="VH5" s="1" t="s">
        <v>2105</v>
      </c>
      <c r="VI5" s="2">
        <v>0</v>
      </c>
      <c r="VJ5" s="2">
        <v>1</v>
      </c>
      <c r="VK5" s="2">
        <v>0</v>
      </c>
      <c r="VL5" s="2">
        <v>0</v>
      </c>
      <c r="VM5" s="2">
        <v>1</v>
      </c>
      <c r="VN5" s="2">
        <v>0</v>
      </c>
      <c r="VO5" s="2">
        <v>0</v>
      </c>
      <c r="VP5" s="2">
        <v>1</v>
      </c>
      <c r="VQ5" s="2">
        <v>0</v>
      </c>
      <c r="VR5" s="2">
        <v>0</v>
      </c>
      <c r="VS5" s="2">
        <v>0</v>
      </c>
      <c r="VT5" s="2">
        <v>0</v>
      </c>
      <c r="VU5" s="2">
        <v>0</v>
      </c>
      <c r="VW5" s="1" t="s">
        <v>1156</v>
      </c>
      <c r="VX5" s="1" t="s">
        <v>1154</v>
      </c>
      <c r="VY5" s="2">
        <v>0</v>
      </c>
      <c r="VZ5" s="2">
        <v>0</v>
      </c>
      <c r="WA5" s="2">
        <v>0</v>
      </c>
      <c r="WB5" s="2">
        <v>0</v>
      </c>
      <c r="WC5" s="2">
        <v>0</v>
      </c>
      <c r="WD5" s="2">
        <v>0</v>
      </c>
      <c r="WE5" s="2">
        <v>1</v>
      </c>
      <c r="WF5" s="1" t="s">
        <v>2117</v>
      </c>
      <c r="WG5" s="1" t="s">
        <v>2106</v>
      </c>
      <c r="WH5" s="2">
        <v>1</v>
      </c>
      <c r="WI5" s="2">
        <v>0</v>
      </c>
      <c r="WJ5" s="2">
        <v>1</v>
      </c>
      <c r="WK5" s="2">
        <v>0</v>
      </c>
      <c r="WL5" s="2">
        <v>0</v>
      </c>
      <c r="WM5" s="2">
        <v>0</v>
      </c>
      <c r="WN5" s="2">
        <v>0</v>
      </c>
      <c r="WO5" s="2">
        <v>0</v>
      </c>
      <c r="WP5" s="2">
        <v>0</v>
      </c>
      <c r="WQ5" s="2">
        <v>0</v>
      </c>
      <c r="WR5" s="2">
        <v>1</v>
      </c>
      <c r="WS5" s="2">
        <v>0</v>
      </c>
      <c r="WT5" s="2">
        <v>0</v>
      </c>
      <c r="WV5" s="1" t="s">
        <v>1156</v>
      </c>
      <c r="XD5" s="1" t="s">
        <v>2118</v>
      </c>
      <c r="XE5" s="2">
        <v>0</v>
      </c>
      <c r="XF5" s="2">
        <v>0</v>
      </c>
      <c r="XG5" s="2">
        <v>0</v>
      </c>
      <c r="XH5" s="2">
        <v>1</v>
      </c>
      <c r="XI5" s="2">
        <v>1</v>
      </c>
      <c r="XJ5" s="2">
        <v>1</v>
      </c>
      <c r="XK5" s="2">
        <v>1</v>
      </c>
      <c r="XL5" s="2">
        <v>1</v>
      </c>
      <c r="XM5" s="2">
        <v>1</v>
      </c>
      <c r="XN5" s="2">
        <v>1</v>
      </c>
      <c r="XO5" s="2">
        <v>1</v>
      </c>
      <c r="XP5" s="2">
        <v>0</v>
      </c>
      <c r="XQ5" s="2">
        <v>0</v>
      </c>
      <c r="XT5" s="1" t="s">
        <v>1156</v>
      </c>
      <c r="XU5" s="1" t="s">
        <v>2139</v>
      </c>
      <c r="XV5" s="2">
        <v>0</v>
      </c>
      <c r="XW5" s="2">
        <v>0</v>
      </c>
      <c r="XX5" s="2">
        <v>0</v>
      </c>
      <c r="XY5" s="2">
        <v>1</v>
      </c>
      <c r="XZ5" s="2">
        <v>0</v>
      </c>
      <c r="YA5" s="2">
        <v>0</v>
      </c>
      <c r="YB5" s="2">
        <v>0</v>
      </c>
      <c r="YC5" s="2">
        <v>0</v>
      </c>
      <c r="YE5" s="1" t="s">
        <v>1156</v>
      </c>
      <c r="YF5" s="1" t="s">
        <v>1156</v>
      </c>
      <c r="YG5" s="1" t="s">
        <v>1155</v>
      </c>
      <c r="YH5" s="1" t="s">
        <v>1156</v>
      </c>
      <c r="YI5" s="1" t="s">
        <v>2108</v>
      </c>
      <c r="YJ5" s="2">
        <v>0</v>
      </c>
      <c r="YK5" s="2">
        <v>0</v>
      </c>
      <c r="YL5" s="2">
        <v>1</v>
      </c>
      <c r="YM5" s="2">
        <v>1</v>
      </c>
      <c r="YN5" s="2">
        <v>0</v>
      </c>
      <c r="YO5" s="2">
        <v>0</v>
      </c>
      <c r="YP5" s="2">
        <v>0</v>
      </c>
      <c r="YQ5" s="2">
        <v>0</v>
      </c>
      <c r="YS5" s="1" t="s">
        <v>1155</v>
      </c>
      <c r="ZA5" s="1" t="s">
        <v>1156</v>
      </c>
      <c r="ZB5" s="2" t="s">
        <v>1162</v>
      </c>
      <c r="ZF5" s="1" t="s">
        <v>1155</v>
      </c>
      <c r="ZH5" s="2">
        <v>5</v>
      </c>
      <c r="ZI5" s="1" t="s">
        <v>2109</v>
      </c>
      <c r="ZK5" s="1" t="s">
        <v>1156</v>
      </c>
      <c r="ZL5" s="1" t="s">
        <v>1155</v>
      </c>
      <c r="ZN5" s="1" t="s">
        <v>1156</v>
      </c>
      <c r="ZO5" s="1" t="s">
        <v>1156</v>
      </c>
      <c r="ZP5" s="2">
        <v>4</v>
      </c>
      <c r="ZQ5" s="1" t="s">
        <v>1155</v>
      </c>
      <c r="AVT5" s="1">
        <v>134468335</v>
      </c>
      <c r="AVU5" s="1" t="s">
        <v>2140</v>
      </c>
      <c r="AVW5" s="1">
        <v>188</v>
      </c>
    </row>
    <row r="6" spans="1:1271" ht="14.5" x14ac:dyDescent="0.35">
      <c r="A6" s="1" t="s">
        <v>2141</v>
      </c>
      <c r="B6" s="1" t="s">
        <v>2142</v>
      </c>
      <c r="C6" s="1" t="s">
        <v>2143</v>
      </c>
      <c r="D6" s="1" t="s">
        <v>2144</v>
      </c>
      <c r="E6" s="1" t="s">
        <v>1808</v>
      </c>
      <c r="F6" s="1" t="s">
        <v>2144</v>
      </c>
      <c r="H6" s="2"/>
      <c r="I6" s="1" t="s">
        <v>1659</v>
      </c>
      <c r="J6" s="1" t="s">
        <v>2095</v>
      </c>
      <c r="K6" s="1" t="s">
        <v>2095</v>
      </c>
      <c r="M6"/>
      <c r="N6" s="1" t="s">
        <v>1153</v>
      </c>
      <c r="O6" s="2">
        <v>1</v>
      </c>
      <c r="P6" s="2">
        <v>0</v>
      </c>
      <c r="Q6" s="2">
        <v>0</v>
      </c>
      <c r="R6" s="2">
        <v>0</v>
      </c>
      <c r="S6" s="2">
        <v>0</v>
      </c>
      <c r="U6" s="1" t="s">
        <v>1190</v>
      </c>
      <c r="W6" s="1" t="s">
        <v>1156</v>
      </c>
      <c r="X6" s="1" t="s">
        <v>1156</v>
      </c>
      <c r="AN6" s="1" t="s">
        <v>1182</v>
      </c>
      <c r="AO6" s="2" t="s">
        <v>1162</v>
      </c>
      <c r="AP6" s="1" t="s">
        <v>2145</v>
      </c>
      <c r="AR6" s="1" t="s">
        <v>1801</v>
      </c>
      <c r="AS6" s="1" t="s">
        <v>1841</v>
      </c>
      <c r="AT6" s="1" t="s">
        <v>1156</v>
      </c>
      <c r="AU6" s="1" t="s">
        <v>1157</v>
      </c>
      <c r="AV6" s="1" t="s">
        <v>2146</v>
      </c>
      <c r="AW6" s="2">
        <v>0</v>
      </c>
      <c r="AX6" s="2">
        <v>0</v>
      </c>
      <c r="AY6" s="2">
        <v>0</v>
      </c>
      <c r="AZ6" s="2">
        <v>0</v>
      </c>
      <c r="BA6" s="2">
        <v>0</v>
      </c>
      <c r="BB6" s="2">
        <v>1</v>
      </c>
      <c r="BC6" s="2">
        <v>0</v>
      </c>
      <c r="BD6" s="2">
        <v>0</v>
      </c>
      <c r="BO6" s="1" t="s">
        <v>1158</v>
      </c>
      <c r="BP6" s="2">
        <v>0</v>
      </c>
      <c r="BQ6" s="2">
        <v>0</v>
      </c>
      <c r="BR6" s="2">
        <v>0</v>
      </c>
      <c r="BS6" s="2">
        <v>0</v>
      </c>
      <c r="BT6" s="2">
        <v>0</v>
      </c>
      <c r="BU6" s="2">
        <v>1</v>
      </c>
      <c r="BV6" s="2">
        <v>0</v>
      </c>
      <c r="BW6" s="2">
        <v>0</v>
      </c>
      <c r="BX6" s="2">
        <v>0</v>
      </c>
      <c r="BY6" s="2">
        <v>0</v>
      </c>
      <c r="BZ6" s="2">
        <v>0</v>
      </c>
      <c r="CA6" s="2">
        <v>0</v>
      </c>
      <c r="CC6" s="1" t="s">
        <v>1155</v>
      </c>
      <c r="DQ6" s="1" t="s">
        <v>1164</v>
      </c>
      <c r="DR6" s="2">
        <v>0</v>
      </c>
      <c r="DS6" s="2">
        <v>0</v>
      </c>
      <c r="DT6" s="2">
        <v>0</v>
      </c>
      <c r="DU6" s="2">
        <v>0</v>
      </c>
      <c r="DV6" s="2">
        <v>1</v>
      </c>
      <c r="DX6" s="1" t="s">
        <v>2147</v>
      </c>
      <c r="DY6" s="2">
        <v>0</v>
      </c>
      <c r="DZ6" s="2">
        <v>0</v>
      </c>
      <c r="EA6" s="2">
        <v>0</v>
      </c>
      <c r="EB6" s="2">
        <v>0</v>
      </c>
      <c r="EC6" s="2">
        <v>0</v>
      </c>
      <c r="ED6" s="2">
        <v>0</v>
      </c>
      <c r="EE6" s="2">
        <v>0</v>
      </c>
      <c r="EF6" s="2">
        <v>1</v>
      </c>
      <c r="EG6" s="2">
        <v>0</v>
      </c>
      <c r="EH6" s="2">
        <v>0</v>
      </c>
      <c r="EI6" s="2">
        <v>0</v>
      </c>
      <c r="EJ6" s="2">
        <v>0</v>
      </c>
      <c r="EK6" s="2">
        <v>0</v>
      </c>
      <c r="EM6" s="1" t="s">
        <v>2148</v>
      </c>
      <c r="EN6" s="2">
        <v>0</v>
      </c>
      <c r="EO6" s="2">
        <v>0</v>
      </c>
      <c r="EP6" s="2">
        <v>0</v>
      </c>
      <c r="EQ6" s="2">
        <v>0</v>
      </c>
      <c r="ER6" s="2">
        <v>1</v>
      </c>
      <c r="ES6" s="2">
        <v>0</v>
      </c>
      <c r="ET6" s="2">
        <v>1</v>
      </c>
      <c r="EU6" s="2">
        <v>1</v>
      </c>
      <c r="EV6" s="2">
        <v>0</v>
      </c>
      <c r="EW6" s="2">
        <v>0</v>
      </c>
      <c r="EX6" s="2">
        <v>0</v>
      </c>
      <c r="EY6" s="2">
        <v>0</v>
      </c>
      <c r="EZ6" s="2">
        <v>0</v>
      </c>
      <c r="FB6" s="1" t="s">
        <v>1156</v>
      </c>
      <c r="FC6" s="1" t="s">
        <v>1158</v>
      </c>
      <c r="FD6" s="2">
        <v>0</v>
      </c>
      <c r="FE6" s="2">
        <v>0</v>
      </c>
      <c r="FF6" s="2">
        <v>0</v>
      </c>
      <c r="FG6" s="2">
        <v>0</v>
      </c>
      <c r="FH6" s="2">
        <v>1</v>
      </c>
      <c r="FI6" s="2">
        <v>0</v>
      </c>
      <c r="FJ6" s="2">
        <v>0</v>
      </c>
      <c r="FL6" s="1" t="s">
        <v>2149</v>
      </c>
      <c r="FM6" s="2">
        <v>0</v>
      </c>
      <c r="FN6" s="2">
        <v>1</v>
      </c>
      <c r="FO6" s="2">
        <v>0</v>
      </c>
      <c r="FP6" s="2">
        <v>0</v>
      </c>
      <c r="FQ6" s="2">
        <v>0</v>
      </c>
      <c r="FR6" s="2">
        <v>0</v>
      </c>
      <c r="FS6" s="2">
        <v>1</v>
      </c>
      <c r="FT6" s="2">
        <v>0</v>
      </c>
      <c r="FU6" s="2">
        <v>0</v>
      </c>
      <c r="FV6" s="2">
        <v>1</v>
      </c>
      <c r="FW6" s="2">
        <v>0</v>
      </c>
      <c r="FX6" s="2">
        <v>0</v>
      </c>
      <c r="FY6" s="2">
        <v>0</v>
      </c>
      <c r="GA6" s="1" t="s">
        <v>1155</v>
      </c>
      <c r="GB6" s="1" t="s">
        <v>1180</v>
      </c>
      <c r="GC6" s="2">
        <v>1</v>
      </c>
      <c r="GD6" s="2">
        <v>0</v>
      </c>
      <c r="GE6" s="2">
        <v>0</v>
      </c>
      <c r="GF6" s="2">
        <v>0</v>
      </c>
      <c r="GG6" s="2">
        <v>0</v>
      </c>
      <c r="GI6" s="1" t="s">
        <v>2150</v>
      </c>
      <c r="GJ6" s="2">
        <v>0</v>
      </c>
      <c r="GK6" s="2">
        <v>0</v>
      </c>
      <c r="GL6" s="2">
        <v>0</v>
      </c>
      <c r="GM6" s="2">
        <v>0</v>
      </c>
      <c r="GN6" s="2">
        <v>0</v>
      </c>
      <c r="GO6" s="2">
        <v>0</v>
      </c>
      <c r="GP6" s="2">
        <v>0</v>
      </c>
      <c r="GQ6" s="2">
        <v>1</v>
      </c>
      <c r="GR6" s="2">
        <v>0</v>
      </c>
      <c r="GS6" s="2">
        <v>1</v>
      </c>
      <c r="GT6" s="2">
        <v>1</v>
      </c>
      <c r="GU6" s="2">
        <v>0</v>
      </c>
      <c r="GV6" s="2">
        <v>0</v>
      </c>
      <c r="AVT6" s="1">
        <v>134468429</v>
      </c>
      <c r="AVU6" s="1" t="s">
        <v>2151</v>
      </c>
      <c r="AVW6" s="1">
        <v>189</v>
      </c>
    </row>
    <row r="7" spans="1:1271" ht="14.5" x14ac:dyDescent="0.35">
      <c r="A7" s="1" t="s">
        <v>2152</v>
      </c>
      <c r="B7" s="1" t="s">
        <v>2153</v>
      </c>
      <c r="C7" s="1" t="s">
        <v>2154</v>
      </c>
      <c r="D7" s="1" t="s">
        <v>2144</v>
      </c>
      <c r="E7" s="1" t="s">
        <v>1808</v>
      </c>
      <c r="F7" s="1" t="s">
        <v>2144</v>
      </c>
      <c r="H7" s="2"/>
      <c r="I7" s="1" t="s">
        <v>1659</v>
      </c>
      <c r="J7" s="1" t="s">
        <v>2095</v>
      </c>
      <c r="K7" s="1" t="s">
        <v>2095</v>
      </c>
      <c r="M7"/>
      <c r="N7" s="1" t="s">
        <v>1170</v>
      </c>
      <c r="O7" s="2">
        <v>0</v>
      </c>
      <c r="P7" s="2">
        <v>0</v>
      </c>
      <c r="Q7" s="2">
        <v>1</v>
      </c>
      <c r="R7" s="2">
        <v>0</v>
      </c>
      <c r="S7" s="2">
        <v>0</v>
      </c>
      <c r="ZS7" s="1" t="s">
        <v>2155</v>
      </c>
      <c r="ZT7" s="1" t="s">
        <v>1171</v>
      </c>
      <c r="ZV7" s="1" t="s">
        <v>1172</v>
      </c>
      <c r="ZX7" s="1" t="s">
        <v>1156</v>
      </c>
      <c r="ABD7" s="1" t="s">
        <v>2156</v>
      </c>
      <c r="ABE7" s="1" t="s">
        <v>1173</v>
      </c>
      <c r="ABF7" s="2">
        <v>1</v>
      </c>
      <c r="ABG7" s="2">
        <v>0</v>
      </c>
      <c r="ABH7" s="2">
        <v>0</v>
      </c>
      <c r="ABI7" s="2">
        <v>0</v>
      </c>
      <c r="ABJ7" s="2">
        <v>0</v>
      </c>
      <c r="ABL7" s="1" t="s">
        <v>1188</v>
      </c>
      <c r="ABM7" s="2">
        <v>1</v>
      </c>
      <c r="ABN7" s="2">
        <v>0</v>
      </c>
      <c r="ABO7" s="2">
        <v>0</v>
      </c>
      <c r="ABP7" s="2">
        <v>0</v>
      </c>
      <c r="ABQ7" s="2">
        <v>0</v>
      </c>
      <c r="ABR7" s="2">
        <v>0</v>
      </c>
      <c r="ABS7" s="2">
        <v>0</v>
      </c>
      <c r="ABT7" s="2">
        <v>0</v>
      </c>
      <c r="ABU7" s="2">
        <v>0</v>
      </c>
      <c r="ABV7" s="2">
        <v>0</v>
      </c>
      <c r="ABW7" s="2">
        <v>0</v>
      </c>
      <c r="ABX7" s="2">
        <v>0</v>
      </c>
      <c r="ABZ7" s="2">
        <v>7</v>
      </c>
      <c r="ACA7" s="1" t="s">
        <v>1156</v>
      </c>
      <c r="ACB7" s="2">
        <v>3</v>
      </c>
      <c r="ACC7" s="1" t="s">
        <v>1156</v>
      </c>
      <c r="ACD7" s="2">
        <v>1</v>
      </c>
      <c r="ACE7" s="2">
        <v>2</v>
      </c>
      <c r="ACF7" s="2">
        <v>1</v>
      </c>
      <c r="ACG7" s="2">
        <v>2</v>
      </c>
      <c r="ACI7" s="1" t="s">
        <v>1156</v>
      </c>
      <c r="ACJ7" s="1" t="s">
        <v>1155</v>
      </c>
      <c r="ACM7" s="1" t="s">
        <v>2157</v>
      </c>
      <c r="ACN7" s="2">
        <v>768</v>
      </c>
      <c r="ACO7" s="2">
        <v>234</v>
      </c>
      <c r="ACP7" s="2">
        <v>534</v>
      </c>
      <c r="ACQ7" s="2">
        <v>534</v>
      </c>
      <c r="ACR7" s="2">
        <v>768</v>
      </c>
      <c r="ACT7" s="2">
        <v>7</v>
      </c>
      <c r="ACU7" s="2">
        <v>16</v>
      </c>
      <c r="ACV7" s="1" t="s">
        <v>1156</v>
      </c>
      <c r="ACW7" s="1" t="s">
        <v>1186</v>
      </c>
      <c r="ACX7" s="1" t="s">
        <v>2158</v>
      </c>
      <c r="ACY7" s="2">
        <v>0</v>
      </c>
      <c r="ACZ7" s="2">
        <v>0</v>
      </c>
      <c r="ADA7" s="2">
        <v>0</v>
      </c>
      <c r="ADB7" s="2">
        <v>1</v>
      </c>
      <c r="ADC7" s="2">
        <v>0</v>
      </c>
      <c r="ADD7" s="2">
        <v>0</v>
      </c>
      <c r="ADE7" s="2">
        <v>1</v>
      </c>
      <c r="ADQ7" s="2">
        <v>1</v>
      </c>
      <c r="ADR7" s="2">
        <v>0</v>
      </c>
      <c r="ADS7" s="2">
        <v>1</v>
      </c>
      <c r="ADT7" s="2">
        <v>1</v>
      </c>
      <c r="ADU7" s="2">
        <v>1</v>
      </c>
      <c r="ADW7" s="1" t="s">
        <v>1155</v>
      </c>
      <c r="AEO7" s="2">
        <v>0</v>
      </c>
      <c r="AEP7" s="2">
        <v>0</v>
      </c>
      <c r="AEQ7" s="2">
        <v>0</v>
      </c>
      <c r="AER7" s="2">
        <v>0</v>
      </c>
      <c r="AES7" s="2">
        <v>0</v>
      </c>
      <c r="AEU7" s="1" t="s">
        <v>1155</v>
      </c>
      <c r="AFL7" s="2">
        <v>6</v>
      </c>
      <c r="AFM7" s="2">
        <v>0</v>
      </c>
      <c r="AFN7" s="2">
        <v>6</v>
      </c>
      <c r="AFO7" s="2">
        <v>6</v>
      </c>
      <c r="AFP7" s="2">
        <v>6</v>
      </c>
      <c r="AFR7" s="1" t="s">
        <v>1156</v>
      </c>
      <c r="AFS7" s="1" t="s">
        <v>1186</v>
      </c>
      <c r="AFT7" s="1" t="s">
        <v>2159</v>
      </c>
      <c r="AFU7" s="2">
        <v>1</v>
      </c>
      <c r="AFV7" s="2">
        <v>1</v>
      </c>
      <c r="AFW7" s="2">
        <v>0</v>
      </c>
      <c r="AFX7" s="2">
        <v>0</v>
      </c>
      <c r="AFY7" s="2">
        <v>0</v>
      </c>
      <c r="AGH7" s="1" t="s">
        <v>1187</v>
      </c>
      <c r="AGI7" s="1" t="s">
        <v>1174</v>
      </c>
      <c r="AGJ7" s="1" t="s">
        <v>1155</v>
      </c>
      <c r="AHQ7" s="1" t="s">
        <v>1397</v>
      </c>
      <c r="AHR7" s="2">
        <v>1</v>
      </c>
      <c r="AHS7" s="2">
        <v>0</v>
      </c>
      <c r="AHT7" s="2">
        <v>0</v>
      </c>
      <c r="AHU7" s="2">
        <v>0</v>
      </c>
      <c r="AHV7" s="2">
        <v>0</v>
      </c>
      <c r="AHX7" s="1" t="s">
        <v>2160</v>
      </c>
      <c r="AHY7" s="2">
        <v>1</v>
      </c>
      <c r="AHZ7" s="2">
        <v>1</v>
      </c>
      <c r="AIA7" s="2">
        <v>1</v>
      </c>
      <c r="AIB7" s="2">
        <v>1</v>
      </c>
      <c r="AIC7" s="2">
        <v>0</v>
      </c>
      <c r="AID7" s="2">
        <v>0</v>
      </c>
      <c r="AIE7" s="2">
        <v>0</v>
      </c>
      <c r="AIF7" s="2">
        <v>0</v>
      </c>
      <c r="AIG7" s="2">
        <v>0</v>
      </c>
      <c r="AIH7" s="2">
        <v>0</v>
      </c>
      <c r="AII7" s="2">
        <v>0</v>
      </c>
      <c r="AIK7" s="1" t="s">
        <v>2161</v>
      </c>
      <c r="AIL7" s="2">
        <v>0</v>
      </c>
      <c r="AIM7" s="2">
        <v>1</v>
      </c>
      <c r="AIN7" s="2">
        <v>0</v>
      </c>
      <c r="AIO7" s="2">
        <v>0</v>
      </c>
      <c r="AIP7" s="2">
        <v>1</v>
      </c>
      <c r="AIQ7" s="2">
        <v>1</v>
      </c>
      <c r="AIR7" s="2">
        <v>0</v>
      </c>
      <c r="AIS7" s="2">
        <v>0</v>
      </c>
      <c r="AIT7" s="2">
        <v>0</v>
      </c>
      <c r="AIU7" s="2">
        <v>0</v>
      </c>
      <c r="AIV7" s="2">
        <v>0</v>
      </c>
      <c r="AIW7" s="2">
        <v>0</v>
      </c>
      <c r="AIX7" s="2">
        <v>1</v>
      </c>
      <c r="AIZ7" s="1" t="s">
        <v>1156</v>
      </c>
      <c r="AJA7" s="1" t="s">
        <v>1158</v>
      </c>
      <c r="AJB7" s="2">
        <v>0</v>
      </c>
      <c r="AJC7" s="2">
        <v>0</v>
      </c>
      <c r="AJD7" s="2">
        <v>0</v>
      </c>
      <c r="AJE7" s="2">
        <v>0</v>
      </c>
      <c r="AJF7" s="2">
        <v>1</v>
      </c>
      <c r="AJG7" s="2">
        <v>0</v>
      </c>
      <c r="AJH7" s="2">
        <v>0</v>
      </c>
      <c r="AJJ7" s="1" t="s">
        <v>1694</v>
      </c>
      <c r="AJK7" s="2">
        <v>0</v>
      </c>
      <c r="AJL7" s="2">
        <v>0</v>
      </c>
      <c r="AJM7" s="2">
        <v>0</v>
      </c>
      <c r="AJN7" s="2">
        <v>0</v>
      </c>
      <c r="AJO7" s="2">
        <v>0</v>
      </c>
      <c r="AJP7" s="2">
        <v>0</v>
      </c>
      <c r="AJQ7" s="2">
        <v>1</v>
      </c>
      <c r="AJR7" s="2">
        <v>1</v>
      </c>
      <c r="AJS7" s="2">
        <v>0</v>
      </c>
      <c r="AJT7" s="2">
        <v>1</v>
      </c>
      <c r="AJU7" s="2">
        <v>0</v>
      </c>
      <c r="AJV7" s="2">
        <v>0</v>
      </c>
      <c r="AJX7" s="1" t="s">
        <v>1156</v>
      </c>
      <c r="AKF7" s="1" t="s">
        <v>2162</v>
      </c>
      <c r="AKG7" s="2">
        <v>1</v>
      </c>
      <c r="AKH7" s="2">
        <v>0</v>
      </c>
      <c r="AKI7" s="2">
        <v>1</v>
      </c>
      <c r="AKJ7" s="2">
        <v>1</v>
      </c>
      <c r="AKK7" s="2">
        <v>0</v>
      </c>
      <c r="AKL7" s="2">
        <v>1</v>
      </c>
      <c r="AKM7" s="2">
        <v>1</v>
      </c>
      <c r="AKN7" s="2">
        <v>1</v>
      </c>
      <c r="AKO7" s="2">
        <v>0</v>
      </c>
      <c r="AKP7" s="2">
        <v>1</v>
      </c>
      <c r="AKQ7" s="2">
        <v>0</v>
      </c>
      <c r="AKR7" s="2">
        <v>0</v>
      </c>
      <c r="AVT7" s="1">
        <v>134468491</v>
      </c>
      <c r="AVU7" s="1" t="s">
        <v>2163</v>
      </c>
      <c r="AVW7" s="1">
        <v>190</v>
      </c>
    </row>
    <row r="8" spans="1:1271" ht="14.5" x14ac:dyDescent="0.35">
      <c r="A8" s="1" t="s">
        <v>2164</v>
      </c>
      <c r="B8" s="1" t="s">
        <v>2165</v>
      </c>
      <c r="C8" s="1" t="s">
        <v>2166</v>
      </c>
      <c r="D8" s="1" t="s">
        <v>2144</v>
      </c>
      <c r="E8" s="1" t="s">
        <v>1808</v>
      </c>
      <c r="F8" s="1" t="s">
        <v>2144</v>
      </c>
      <c r="H8" s="2"/>
      <c r="I8" s="1" t="s">
        <v>1659</v>
      </c>
      <c r="J8" s="1" t="s">
        <v>2095</v>
      </c>
      <c r="K8" s="1" t="s">
        <v>2095</v>
      </c>
      <c r="M8"/>
      <c r="N8" s="1" t="s">
        <v>1153</v>
      </c>
      <c r="O8" s="2">
        <v>1</v>
      </c>
      <c r="P8" s="2">
        <v>0</v>
      </c>
      <c r="Q8" s="2">
        <v>0</v>
      </c>
      <c r="R8" s="2">
        <v>0</v>
      </c>
      <c r="S8" s="2">
        <v>0</v>
      </c>
      <c r="U8" s="1" t="s">
        <v>2167</v>
      </c>
      <c r="W8" s="1" t="s">
        <v>1156</v>
      </c>
      <c r="X8" s="1" t="s">
        <v>1156</v>
      </c>
      <c r="AN8" s="1" t="s">
        <v>1192</v>
      </c>
      <c r="AO8" s="2" t="s">
        <v>1162</v>
      </c>
      <c r="AP8" s="1" t="s">
        <v>2145</v>
      </c>
      <c r="AR8" s="1" t="s">
        <v>1801</v>
      </c>
      <c r="AS8" s="1" t="s">
        <v>2168</v>
      </c>
      <c r="AT8" s="1" t="s">
        <v>1156</v>
      </c>
      <c r="AU8" s="1" t="s">
        <v>1157</v>
      </c>
      <c r="AV8" s="1" t="s">
        <v>2169</v>
      </c>
      <c r="AW8" s="2">
        <v>0</v>
      </c>
      <c r="AX8" s="2">
        <v>0</v>
      </c>
      <c r="AY8" s="2">
        <v>1</v>
      </c>
      <c r="AZ8" s="2">
        <v>0</v>
      </c>
      <c r="BA8" s="2">
        <v>0</v>
      </c>
      <c r="BB8" s="2">
        <v>1</v>
      </c>
      <c r="BC8" s="2">
        <v>0</v>
      </c>
      <c r="BD8" s="2">
        <v>0</v>
      </c>
      <c r="BO8" s="1" t="s">
        <v>2170</v>
      </c>
      <c r="BP8" s="2">
        <v>0</v>
      </c>
      <c r="BQ8" s="2">
        <v>0</v>
      </c>
      <c r="BR8" s="2">
        <v>0</v>
      </c>
      <c r="BS8" s="2">
        <v>0</v>
      </c>
      <c r="BT8" s="2">
        <v>0</v>
      </c>
      <c r="BU8" s="2">
        <v>1</v>
      </c>
      <c r="BV8" s="2">
        <v>0</v>
      </c>
      <c r="BW8" s="2">
        <v>0</v>
      </c>
      <c r="BX8" s="2">
        <v>0</v>
      </c>
      <c r="BY8" s="2">
        <v>1</v>
      </c>
      <c r="BZ8" s="2">
        <v>0</v>
      </c>
      <c r="CA8" s="2">
        <v>0</v>
      </c>
      <c r="CC8" s="1" t="s">
        <v>1155</v>
      </c>
      <c r="DQ8" s="1" t="s">
        <v>1397</v>
      </c>
      <c r="DR8" s="2">
        <v>1</v>
      </c>
      <c r="DS8" s="2">
        <v>0</v>
      </c>
      <c r="DT8" s="2">
        <v>0</v>
      </c>
      <c r="DU8" s="2">
        <v>0</v>
      </c>
      <c r="DV8" s="2">
        <v>0</v>
      </c>
      <c r="DX8" s="1" t="s">
        <v>1711</v>
      </c>
      <c r="DY8" s="2">
        <v>0</v>
      </c>
      <c r="DZ8" s="2">
        <v>1</v>
      </c>
      <c r="EA8" s="2">
        <v>0</v>
      </c>
      <c r="EB8" s="2">
        <v>0</v>
      </c>
      <c r="EC8" s="2">
        <v>0</v>
      </c>
      <c r="ED8" s="2">
        <v>0</v>
      </c>
      <c r="EE8" s="2">
        <v>0</v>
      </c>
      <c r="EF8" s="2">
        <v>1</v>
      </c>
      <c r="EG8" s="2">
        <v>0</v>
      </c>
      <c r="EH8" s="2">
        <v>0</v>
      </c>
      <c r="EI8" s="2">
        <v>0</v>
      </c>
      <c r="EJ8" s="2">
        <v>0</v>
      </c>
      <c r="EK8" s="2">
        <v>1</v>
      </c>
      <c r="EM8" s="1" t="s">
        <v>1164</v>
      </c>
      <c r="EN8" s="2">
        <v>0</v>
      </c>
      <c r="EO8" s="2">
        <v>0</v>
      </c>
      <c r="EP8" s="2">
        <v>0</v>
      </c>
      <c r="EQ8" s="2">
        <v>0</v>
      </c>
      <c r="ER8" s="2">
        <v>0</v>
      </c>
      <c r="ES8" s="2">
        <v>0</v>
      </c>
      <c r="ET8" s="2">
        <v>0</v>
      </c>
      <c r="EU8" s="2">
        <v>0</v>
      </c>
      <c r="EV8" s="2">
        <v>0</v>
      </c>
      <c r="EW8" s="2">
        <v>1</v>
      </c>
      <c r="EX8" s="2">
        <v>0</v>
      </c>
      <c r="EY8" s="2">
        <v>0</v>
      </c>
      <c r="EZ8" s="2">
        <v>0</v>
      </c>
      <c r="FB8" s="1" t="s">
        <v>1155</v>
      </c>
      <c r="GI8" s="1" t="s">
        <v>2150</v>
      </c>
      <c r="GJ8" s="2">
        <v>0</v>
      </c>
      <c r="GK8" s="2">
        <v>0</v>
      </c>
      <c r="GL8" s="2">
        <v>0</v>
      </c>
      <c r="GM8" s="2">
        <v>0</v>
      </c>
      <c r="GN8" s="2">
        <v>0</v>
      </c>
      <c r="GO8" s="2">
        <v>0</v>
      </c>
      <c r="GP8" s="2">
        <v>0</v>
      </c>
      <c r="GQ8" s="2">
        <v>1</v>
      </c>
      <c r="GR8" s="2">
        <v>0</v>
      </c>
      <c r="GS8" s="2">
        <v>1</v>
      </c>
      <c r="GT8" s="2">
        <v>1</v>
      </c>
      <c r="GU8" s="2">
        <v>0</v>
      </c>
      <c r="GV8" s="2">
        <v>0</v>
      </c>
      <c r="AVT8" s="1">
        <v>134468511</v>
      </c>
      <c r="AVU8" s="1" t="s">
        <v>2171</v>
      </c>
      <c r="AVW8" s="1">
        <v>191</v>
      </c>
    </row>
    <row r="9" spans="1:1271" ht="14.5" x14ac:dyDescent="0.35">
      <c r="A9" s="1" t="s">
        <v>2172</v>
      </c>
      <c r="B9" s="1" t="s">
        <v>2173</v>
      </c>
      <c r="C9" s="1" t="s">
        <v>2174</v>
      </c>
      <c r="D9" s="1" t="s">
        <v>2144</v>
      </c>
      <c r="E9" s="1" t="s">
        <v>1808</v>
      </c>
      <c r="F9" s="1" t="s">
        <v>2144</v>
      </c>
      <c r="H9" s="2"/>
      <c r="I9" s="1" t="s">
        <v>1659</v>
      </c>
      <c r="J9" s="1" t="s">
        <v>2095</v>
      </c>
      <c r="K9" s="1" t="s">
        <v>2095</v>
      </c>
      <c r="M9"/>
      <c r="N9" s="1" t="s">
        <v>1153</v>
      </c>
      <c r="O9" s="2">
        <v>1</v>
      </c>
      <c r="P9" s="2">
        <v>0</v>
      </c>
      <c r="Q9" s="2">
        <v>0</v>
      </c>
      <c r="R9" s="2">
        <v>0</v>
      </c>
      <c r="S9" s="2">
        <v>0</v>
      </c>
      <c r="U9" s="1" t="s">
        <v>2167</v>
      </c>
      <c r="W9" s="1" t="s">
        <v>1156</v>
      </c>
      <c r="X9" s="1" t="s">
        <v>1156</v>
      </c>
      <c r="AN9" s="1" t="s">
        <v>1192</v>
      </c>
      <c r="AO9" s="2" t="s">
        <v>1162</v>
      </c>
      <c r="AP9" s="1" t="s">
        <v>2145</v>
      </c>
      <c r="AR9" s="1" t="s">
        <v>1801</v>
      </c>
      <c r="AS9" s="1" t="s">
        <v>1164</v>
      </c>
      <c r="AT9" s="1" t="s">
        <v>1156</v>
      </c>
      <c r="AU9" s="1" t="s">
        <v>1157</v>
      </c>
      <c r="AV9" s="1" t="s">
        <v>1191</v>
      </c>
      <c r="AW9" s="2">
        <v>1</v>
      </c>
      <c r="AX9" s="2">
        <v>0</v>
      </c>
      <c r="AY9" s="2">
        <v>0</v>
      </c>
      <c r="AZ9" s="2">
        <v>0</v>
      </c>
      <c r="BA9" s="2">
        <v>0</v>
      </c>
      <c r="BB9" s="2">
        <v>0</v>
      </c>
      <c r="BC9" s="2">
        <v>0</v>
      </c>
      <c r="BD9" s="2">
        <v>0</v>
      </c>
      <c r="BO9" s="1" t="s">
        <v>1802</v>
      </c>
      <c r="BP9" s="2">
        <v>0</v>
      </c>
      <c r="BQ9" s="2">
        <v>0</v>
      </c>
      <c r="BR9" s="2">
        <v>0</v>
      </c>
      <c r="BS9" s="2">
        <v>0</v>
      </c>
      <c r="BT9" s="2">
        <v>0</v>
      </c>
      <c r="BU9" s="2">
        <v>0</v>
      </c>
      <c r="BV9" s="2">
        <v>0</v>
      </c>
      <c r="BW9" s="2">
        <v>0</v>
      </c>
      <c r="BX9" s="2">
        <v>0</v>
      </c>
      <c r="BY9" s="2">
        <v>0</v>
      </c>
      <c r="BZ9" s="2">
        <v>1</v>
      </c>
      <c r="CA9" s="2">
        <v>0</v>
      </c>
      <c r="CC9" s="1" t="s">
        <v>1155</v>
      </c>
      <c r="DQ9" s="1" t="s">
        <v>1164</v>
      </c>
      <c r="DR9" s="2">
        <v>0</v>
      </c>
      <c r="DS9" s="2">
        <v>0</v>
      </c>
      <c r="DT9" s="2">
        <v>0</v>
      </c>
      <c r="DU9" s="2">
        <v>0</v>
      </c>
      <c r="DV9" s="2">
        <v>1</v>
      </c>
      <c r="DX9" s="1" t="s">
        <v>2175</v>
      </c>
      <c r="DY9" s="2">
        <v>1</v>
      </c>
      <c r="DZ9" s="2">
        <v>0</v>
      </c>
      <c r="EA9" s="2">
        <v>0</v>
      </c>
      <c r="EB9" s="2">
        <v>0</v>
      </c>
      <c r="EC9" s="2">
        <v>0</v>
      </c>
      <c r="ED9" s="2">
        <v>0</v>
      </c>
      <c r="EE9" s="2">
        <v>0</v>
      </c>
      <c r="EF9" s="2">
        <v>1</v>
      </c>
      <c r="EG9" s="2">
        <v>1</v>
      </c>
      <c r="EH9" s="2">
        <v>0</v>
      </c>
      <c r="EI9" s="2">
        <v>0</v>
      </c>
      <c r="EJ9" s="2">
        <v>0</v>
      </c>
      <c r="EK9" s="2">
        <v>1</v>
      </c>
      <c r="EM9" s="1" t="s">
        <v>2148</v>
      </c>
      <c r="EN9" s="2">
        <v>0</v>
      </c>
      <c r="EO9" s="2">
        <v>0</v>
      </c>
      <c r="EP9" s="2">
        <v>0</v>
      </c>
      <c r="EQ9" s="2">
        <v>0</v>
      </c>
      <c r="ER9" s="2">
        <v>1</v>
      </c>
      <c r="ES9" s="2">
        <v>0</v>
      </c>
      <c r="ET9" s="2">
        <v>1</v>
      </c>
      <c r="EU9" s="2">
        <v>1</v>
      </c>
      <c r="EV9" s="2">
        <v>0</v>
      </c>
      <c r="EW9" s="2">
        <v>0</v>
      </c>
      <c r="EX9" s="2">
        <v>0</v>
      </c>
      <c r="EY9" s="2">
        <v>0</v>
      </c>
      <c r="EZ9" s="2">
        <v>0</v>
      </c>
      <c r="FB9" s="1" t="s">
        <v>1155</v>
      </c>
      <c r="GI9" s="1" t="s">
        <v>2176</v>
      </c>
      <c r="GJ9" s="2">
        <v>1</v>
      </c>
      <c r="GK9" s="2">
        <v>1</v>
      </c>
      <c r="GL9" s="2">
        <v>0</v>
      </c>
      <c r="GM9" s="2">
        <v>0</v>
      </c>
      <c r="GN9" s="2">
        <v>0</v>
      </c>
      <c r="GO9" s="2">
        <v>0</v>
      </c>
      <c r="GP9" s="2">
        <v>1</v>
      </c>
      <c r="GQ9" s="2">
        <v>0</v>
      </c>
      <c r="GR9" s="2">
        <v>1</v>
      </c>
      <c r="GS9" s="2">
        <v>0</v>
      </c>
      <c r="GT9" s="2">
        <v>0</v>
      </c>
      <c r="GU9" s="2">
        <v>0</v>
      </c>
      <c r="GV9" s="2">
        <v>0</v>
      </c>
      <c r="AVT9" s="1">
        <v>134468532</v>
      </c>
      <c r="AVU9" s="1" t="s">
        <v>2177</v>
      </c>
      <c r="AVW9" s="1">
        <v>192</v>
      </c>
    </row>
    <row r="10" spans="1:1271" ht="14.5" x14ac:dyDescent="0.35">
      <c r="A10" s="1" t="s">
        <v>2178</v>
      </c>
      <c r="B10" s="1" t="s">
        <v>2179</v>
      </c>
      <c r="C10" s="1" t="s">
        <v>2180</v>
      </c>
      <c r="D10" s="1" t="s">
        <v>2181</v>
      </c>
      <c r="E10" s="1" t="s">
        <v>1690</v>
      </c>
      <c r="F10" s="1" t="s">
        <v>2181</v>
      </c>
      <c r="H10" s="2"/>
      <c r="I10" s="1" t="s">
        <v>1659</v>
      </c>
      <c r="J10" s="1" t="s">
        <v>2095</v>
      </c>
      <c r="K10" s="1" t="s">
        <v>2095</v>
      </c>
      <c r="M10"/>
      <c r="N10" s="1" t="s">
        <v>1153</v>
      </c>
      <c r="O10" s="2">
        <v>1</v>
      </c>
      <c r="P10" s="2">
        <v>0</v>
      </c>
      <c r="Q10" s="2">
        <v>0</v>
      </c>
      <c r="R10" s="2">
        <v>0</v>
      </c>
      <c r="S10" s="2">
        <v>0</v>
      </c>
      <c r="U10" s="1" t="s">
        <v>2167</v>
      </c>
      <c r="W10" s="1" t="s">
        <v>1155</v>
      </c>
      <c r="X10" s="1" t="s">
        <v>1156</v>
      </c>
      <c r="AN10" s="1" t="s">
        <v>1155</v>
      </c>
      <c r="AO10" s="2" t="s">
        <v>1162</v>
      </c>
      <c r="AP10" s="1" t="s">
        <v>2145</v>
      </c>
      <c r="AR10" s="1" t="s">
        <v>1801</v>
      </c>
      <c r="AS10" s="1" t="s">
        <v>1833</v>
      </c>
      <c r="AT10" s="1" t="s">
        <v>1156</v>
      </c>
      <c r="AU10" s="1" t="s">
        <v>1157</v>
      </c>
      <c r="AV10" s="1" t="s">
        <v>2182</v>
      </c>
      <c r="AW10" s="2">
        <v>0</v>
      </c>
      <c r="AX10" s="2">
        <v>0</v>
      </c>
      <c r="AY10" s="2">
        <v>1</v>
      </c>
      <c r="AZ10" s="2">
        <v>1</v>
      </c>
      <c r="BA10" s="2">
        <v>0</v>
      </c>
      <c r="BB10" s="2">
        <v>0</v>
      </c>
      <c r="BC10" s="2">
        <v>0</v>
      </c>
      <c r="BD10" s="2">
        <v>0</v>
      </c>
      <c r="BO10" s="1" t="s">
        <v>1802</v>
      </c>
      <c r="BP10" s="2">
        <v>0</v>
      </c>
      <c r="BQ10" s="2">
        <v>0</v>
      </c>
      <c r="BR10" s="2">
        <v>0</v>
      </c>
      <c r="BS10" s="2">
        <v>0</v>
      </c>
      <c r="BT10" s="2">
        <v>0</v>
      </c>
      <c r="BU10" s="2">
        <v>0</v>
      </c>
      <c r="BV10" s="2">
        <v>0</v>
      </c>
      <c r="BW10" s="2">
        <v>0</v>
      </c>
      <c r="BX10" s="2">
        <v>0</v>
      </c>
      <c r="BY10" s="2">
        <v>0</v>
      </c>
      <c r="BZ10" s="2">
        <v>1</v>
      </c>
      <c r="CA10" s="2">
        <v>0</v>
      </c>
      <c r="CC10" s="1" t="s">
        <v>1155</v>
      </c>
      <c r="DQ10" s="1" t="s">
        <v>1164</v>
      </c>
      <c r="DR10" s="2">
        <v>0</v>
      </c>
      <c r="DS10" s="2">
        <v>0</v>
      </c>
      <c r="DT10" s="2">
        <v>0</v>
      </c>
      <c r="DU10" s="2">
        <v>0</v>
      </c>
      <c r="DV10" s="2">
        <v>1</v>
      </c>
      <c r="DX10" s="1" t="s">
        <v>2183</v>
      </c>
      <c r="DY10" s="2">
        <v>0</v>
      </c>
      <c r="DZ10" s="2">
        <v>1</v>
      </c>
      <c r="EA10" s="2">
        <v>0</v>
      </c>
      <c r="EB10" s="2">
        <v>0</v>
      </c>
      <c r="EC10" s="2">
        <v>0</v>
      </c>
      <c r="ED10" s="2">
        <v>0</v>
      </c>
      <c r="EE10" s="2">
        <v>0</v>
      </c>
      <c r="EF10" s="2">
        <v>1</v>
      </c>
      <c r="EG10" s="2">
        <v>1</v>
      </c>
      <c r="EH10" s="2">
        <v>0</v>
      </c>
      <c r="EI10" s="2">
        <v>0</v>
      </c>
      <c r="EJ10" s="2">
        <v>0</v>
      </c>
      <c r="EK10" s="2">
        <v>0</v>
      </c>
      <c r="EM10" s="1" t="s">
        <v>2184</v>
      </c>
      <c r="EN10" s="2">
        <v>0</v>
      </c>
      <c r="EO10" s="2">
        <v>0</v>
      </c>
      <c r="EP10" s="2">
        <v>0</v>
      </c>
      <c r="EQ10" s="2">
        <v>0</v>
      </c>
      <c r="ER10" s="2">
        <v>1</v>
      </c>
      <c r="ES10" s="2">
        <v>1</v>
      </c>
      <c r="ET10" s="2">
        <v>1</v>
      </c>
      <c r="EU10" s="2">
        <v>0</v>
      </c>
      <c r="EV10" s="2">
        <v>0</v>
      </c>
      <c r="EW10" s="2">
        <v>0</v>
      </c>
      <c r="EX10" s="2">
        <v>0</v>
      </c>
      <c r="EY10" s="2">
        <v>0</v>
      </c>
      <c r="EZ10" s="2">
        <v>0</v>
      </c>
      <c r="FB10" s="1" t="s">
        <v>1155</v>
      </c>
      <c r="GI10" s="1" t="s">
        <v>2185</v>
      </c>
      <c r="GJ10" s="2">
        <v>1</v>
      </c>
      <c r="GK10" s="2">
        <v>0</v>
      </c>
      <c r="GL10" s="2">
        <v>0</v>
      </c>
      <c r="GM10" s="2">
        <v>0</v>
      </c>
      <c r="GN10" s="2">
        <v>1</v>
      </c>
      <c r="GO10" s="2">
        <v>1</v>
      </c>
      <c r="GP10" s="2">
        <v>1</v>
      </c>
      <c r="GQ10" s="2">
        <v>1</v>
      </c>
      <c r="GR10" s="2">
        <v>0</v>
      </c>
      <c r="GS10" s="2">
        <v>0</v>
      </c>
      <c r="GT10" s="2">
        <v>0</v>
      </c>
      <c r="GU10" s="2">
        <v>0</v>
      </c>
      <c r="GV10" s="2">
        <v>0</v>
      </c>
      <c r="AVT10" s="1">
        <v>134468546</v>
      </c>
      <c r="AVU10" s="1" t="s">
        <v>2186</v>
      </c>
      <c r="AVW10" s="1">
        <v>193</v>
      </c>
    </row>
    <row r="11" spans="1:1271" ht="14.5" x14ac:dyDescent="0.35">
      <c r="A11" s="1" t="s">
        <v>2187</v>
      </c>
      <c r="B11" s="1" t="s">
        <v>2188</v>
      </c>
      <c r="C11" s="1" t="s">
        <v>2189</v>
      </c>
      <c r="D11" s="1" t="s">
        <v>2190</v>
      </c>
      <c r="E11" s="1" t="s">
        <v>1808</v>
      </c>
      <c r="F11" s="1" t="s">
        <v>2190</v>
      </c>
      <c r="H11" s="2"/>
      <c r="I11" s="1" t="s">
        <v>1659</v>
      </c>
      <c r="J11" s="1" t="s">
        <v>2095</v>
      </c>
      <c r="K11" s="1" t="s">
        <v>2095</v>
      </c>
      <c r="M11"/>
      <c r="N11" s="1" t="s">
        <v>1389</v>
      </c>
      <c r="O11" s="2">
        <v>0</v>
      </c>
      <c r="P11" s="2">
        <v>0</v>
      </c>
      <c r="Q11" s="2">
        <v>0</v>
      </c>
      <c r="R11" s="2">
        <v>1</v>
      </c>
      <c r="S11" s="2">
        <v>0</v>
      </c>
      <c r="OK11" s="1" t="s">
        <v>1386</v>
      </c>
      <c r="OM11" s="1" t="s">
        <v>2191</v>
      </c>
      <c r="ON11" s="1" t="s">
        <v>1156</v>
      </c>
      <c r="PL11" s="1" t="s">
        <v>1156</v>
      </c>
      <c r="PM11" s="2">
        <v>4</v>
      </c>
      <c r="PN11" s="1" t="s">
        <v>1156</v>
      </c>
      <c r="PO11" s="2">
        <v>2</v>
      </c>
      <c r="PP11" s="2">
        <v>2</v>
      </c>
      <c r="PQ11" s="1" t="s">
        <v>1155</v>
      </c>
      <c r="PR11" s="1" t="s">
        <v>1155</v>
      </c>
      <c r="PU11" s="1" t="s">
        <v>1155</v>
      </c>
      <c r="PX11" s="1" t="s">
        <v>1156</v>
      </c>
      <c r="PY11" s="1" t="s">
        <v>1516</v>
      </c>
      <c r="PZ11" s="1" t="s">
        <v>2192</v>
      </c>
      <c r="QA11" s="2">
        <v>1</v>
      </c>
      <c r="QB11" s="2">
        <v>1</v>
      </c>
      <c r="QC11" s="2">
        <v>1</v>
      </c>
      <c r="QD11" s="2">
        <v>1</v>
      </c>
      <c r="QE11" s="2">
        <v>0</v>
      </c>
      <c r="QF11" s="2">
        <v>0</v>
      </c>
      <c r="QG11" s="2">
        <v>0</v>
      </c>
      <c r="QH11" s="2">
        <v>0</v>
      </c>
      <c r="QI11" s="2">
        <v>0</v>
      </c>
      <c r="QJ11" s="2">
        <v>0</v>
      </c>
      <c r="QK11" s="2">
        <v>1</v>
      </c>
      <c r="QL11" s="2">
        <v>0</v>
      </c>
      <c r="QM11" s="2">
        <v>0</v>
      </c>
      <c r="QN11" s="2">
        <v>1</v>
      </c>
      <c r="QP11" s="1" t="s">
        <v>1156</v>
      </c>
      <c r="QQ11" s="1" t="s">
        <v>2193</v>
      </c>
      <c r="QR11" s="2">
        <v>1</v>
      </c>
      <c r="QS11" s="2">
        <v>1</v>
      </c>
      <c r="QT11" s="2">
        <v>0</v>
      </c>
      <c r="QU11" s="2">
        <v>0</v>
      </c>
      <c r="QV11" s="2">
        <v>1</v>
      </c>
      <c r="QW11" s="2">
        <v>1</v>
      </c>
      <c r="QY11" s="1" t="s">
        <v>1156</v>
      </c>
      <c r="QZ11" s="1" t="s">
        <v>2103</v>
      </c>
      <c r="RA11" s="2">
        <v>0</v>
      </c>
      <c r="RB11" s="2">
        <v>0</v>
      </c>
      <c r="RC11" s="2">
        <v>1</v>
      </c>
      <c r="RD11" s="2">
        <v>0</v>
      </c>
      <c r="RE11" s="2">
        <v>0</v>
      </c>
      <c r="RG11" s="2">
        <v>50</v>
      </c>
      <c r="RH11" s="1" t="s">
        <v>1156</v>
      </c>
      <c r="RI11" s="1" t="s">
        <v>1157</v>
      </c>
      <c r="RJ11" s="1" t="s">
        <v>2194</v>
      </c>
      <c r="RK11" s="2">
        <v>0</v>
      </c>
      <c r="RL11" s="2">
        <v>0</v>
      </c>
      <c r="RM11" s="2">
        <v>0</v>
      </c>
      <c r="RN11" s="2">
        <v>1</v>
      </c>
      <c r="RO11" s="2">
        <v>0</v>
      </c>
      <c r="RP11" s="2">
        <v>1</v>
      </c>
      <c r="RQ11" s="2">
        <v>0</v>
      </c>
      <c r="RR11" s="2">
        <v>1</v>
      </c>
      <c r="RS11" s="2">
        <v>0</v>
      </c>
      <c r="RT11" s="2">
        <v>0</v>
      </c>
      <c r="SE11" s="1" t="s">
        <v>2195</v>
      </c>
      <c r="SF11" s="58">
        <v>28</v>
      </c>
      <c r="SG11" s="2">
        <v>0</v>
      </c>
      <c r="SH11" s="2">
        <v>1</v>
      </c>
      <c r="SI11" s="2">
        <v>6</v>
      </c>
      <c r="SJ11" s="2">
        <v>0</v>
      </c>
      <c r="SK11" s="2">
        <v>1</v>
      </c>
      <c r="SL11" s="2">
        <v>18</v>
      </c>
      <c r="SM11" s="2">
        <v>2</v>
      </c>
      <c r="SN11" s="1" t="s">
        <v>2196</v>
      </c>
      <c r="SO11" s="2">
        <v>1</v>
      </c>
      <c r="SP11" s="2">
        <v>0</v>
      </c>
      <c r="SQ11" s="2">
        <v>0</v>
      </c>
      <c r="SR11" s="2">
        <v>0</v>
      </c>
      <c r="SS11" s="2">
        <v>0</v>
      </c>
      <c r="ST11" s="2">
        <v>1</v>
      </c>
      <c r="SU11" s="2">
        <v>0</v>
      </c>
      <c r="SV11" s="2">
        <v>0</v>
      </c>
      <c r="SW11" s="2">
        <v>0</v>
      </c>
      <c r="SX11" s="2">
        <v>0</v>
      </c>
      <c r="SY11" s="2">
        <v>0</v>
      </c>
      <c r="SZ11" s="2">
        <v>0</v>
      </c>
      <c r="TB11" s="1" t="s">
        <v>1156</v>
      </c>
      <c r="TJ11" s="1" t="s">
        <v>1155</v>
      </c>
      <c r="UF11" s="1" t="s">
        <v>2197</v>
      </c>
      <c r="UG11" s="2">
        <v>1</v>
      </c>
      <c r="UH11" s="2">
        <v>1</v>
      </c>
      <c r="UI11" s="2">
        <v>0</v>
      </c>
      <c r="UJ11" s="2">
        <v>0</v>
      </c>
      <c r="UK11" s="2">
        <v>0</v>
      </c>
      <c r="UM11" s="1" t="s">
        <v>1171</v>
      </c>
      <c r="UO11" s="1" t="s">
        <v>1156</v>
      </c>
      <c r="UP11" s="1" t="s">
        <v>2198</v>
      </c>
      <c r="UQ11" s="2">
        <v>1</v>
      </c>
      <c r="UR11" s="2">
        <v>1</v>
      </c>
      <c r="US11" s="2">
        <v>0</v>
      </c>
      <c r="UT11" s="2">
        <v>0</v>
      </c>
      <c r="UU11" s="2">
        <v>0</v>
      </c>
      <c r="UV11" s="2">
        <v>1</v>
      </c>
      <c r="UW11" s="2">
        <v>1</v>
      </c>
      <c r="UX11" s="2">
        <v>1</v>
      </c>
      <c r="UY11" s="2">
        <v>0</v>
      </c>
      <c r="UZ11" s="2">
        <v>1</v>
      </c>
      <c r="VA11" s="2">
        <v>0</v>
      </c>
      <c r="VB11" s="2">
        <v>0</v>
      </c>
      <c r="VC11" s="2">
        <v>0</v>
      </c>
      <c r="VD11" s="2">
        <v>0</v>
      </c>
      <c r="VE11" s="2">
        <v>0</v>
      </c>
      <c r="VF11" s="2">
        <v>0</v>
      </c>
      <c r="VH11" s="1" t="s">
        <v>2199</v>
      </c>
      <c r="VI11" s="2">
        <v>1</v>
      </c>
      <c r="VJ11" s="2">
        <v>1</v>
      </c>
      <c r="VK11" s="2">
        <v>0</v>
      </c>
      <c r="VL11" s="2">
        <v>0</v>
      </c>
      <c r="VM11" s="2">
        <v>1</v>
      </c>
      <c r="VN11" s="2">
        <v>0</v>
      </c>
      <c r="VO11" s="2">
        <v>0</v>
      </c>
      <c r="VP11" s="2">
        <v>1</v>
      </c>
      <c r="VQ11" s="2">
        <v>0</v>
      </c>
      <c r="VR11" s="2">
        <v>0</v>
      </c>
      <c r="VS11" s="2">
        <v>0</v>
      </c>
      <c r="VT11" s="2">
        <v>0</v>
      </c>
      <c r="VU11" s="2">
        <v>0</v>
      </c>
      <c r="VW11" s="1" t="s">
        <v>1156</v>
      </c>
      <c r="VX11" s="1" t="s">
        <v>2200</v>
      </c>
      <c r="VY11" s="2">
        <v>0</v>
      </c>
      <c r="VZ11" s="2">
        <v>0</v>
      </c>
      <c r="WA11" s="2">
        <v>1</v>
      </c>
      <c r="WB11" s="2">
        <v>0</v>
      </c>
      <c r="WC11" s="2">
        <v>1</v>
      </c>
      <c r="WD11" s="2">
        <v>0</v>
      </c>
      <c r="WE11" s="2">
        <v>0</v>
      </c>
      <c r="WG11" s="1" t="s">
        <v>2201</v>
      </c>
      <c r="WH11" s="2">
        <v>1</v>
      </c>
      <c r="WI11" s="2">
        <v>0</v>
      </c>
      <c r="WJ11" s="2">
        <v>1</v>
      </c>
      <c r="WK11" s="2">
        <v>1</v>
      </c>
      <c r="WL11" s="2">
        <v>0</v>
      </c>
      <c r="WM11" s="2">
        <v>0</v>
      </c>
      <c r="WN11" s="2">
        <v>0</v>
      </c>
      <c r="WO11" s="2">
        <v>0</v>
      </c>
      <c r="WP11" s="2">
        <v>0</v>
      </c>
      <c r="WQ11" s="2">
        <v>0</v>
      </c>
      <c r="WR11" s="2">
        <v>0</v>
      </c>
      <c r="WS11" s="2">
        <v>0</v>
      </c>
      <c r="WT11" s="2">
        <v>0</v>
      </c>
      <c r="WV11" s="1" t="s">
        <v>1156</v>
      </c>
      <c r="XD11" s="1" t="s">
        <v>2202</v>
      </c>
      <c r="XE11" s="2">
        <v>1</v>
      </c>
      <c r="XF11" s="2">
        <v>1</v>
      </c>
      <c r="XG11" s="2">
        <v>1</v>
      </c>
      <c r="XH11" s="2">
        <v>1</v>
      </c>
      <c r="XI11" s="2">
        <v>1</v>
      </c>
      <c r="XJ11" s="2">
        <v>1</v>
      </c>
      <c r="XK11" s="2">
        <v>1</v>
      </c>
      <c r="XL11" s="2">
        <v>1</v>
      </c>
      <c r="XM11" s="2">
        <v>0</v>
      </c>
      <c r="XN11" s="2">
        <v>0</v>
      </c>
      <c r="XO11" s="2">
        <v>0</v>
      </c>
      <c r="XP11" s="2">
        <v>0</v>
      </c>
      <c r="XQ11" s="2">
        <v>0</v>
      </c>
      <c r="XT11" s="1" t="s">
        <v>1156</v>
      </c>
      <c r="XU11" s="1" t="s">
        <v>2203</v>
      </c>
      <c r="XV11" s="2">
        <v>1</v>
      </c>
      <c r="XW11" s="2">
        <v>1</v>
      </c>
      <c r="XX11" s="2">
        <v>1</v>
      </c>
      <c r="XY11" s="2">
        <v>1</v>
      </c>
      <c r="XZ11" s="2">
        <v>1</v>
      </c>
      <c r="YA11" s="2">
        <v>0</v>
      </c>
      <c r="YB11" s="2">
        <v>0</v>
      </c>
      <c r="YC11" s="2">
        <v>0</v>
      </c>
      <c r="YE11" s="1" t="s">
        <v>1155</v>
      </c>
      <c r="YF11" s="1" t="s">
        <v>1156</v>
      </c>
      <c r="YG11" s="1" t="s">
        <v>1156</v>
      </c>
      <c r="YH11" s="1" t="s">
        <v>1156</v>
      </c>
      <c r="YI11" s="1" t="s">
        <v>2204</v>
      </c>
      <c r="YJ11" s="2">
        <v>1</v>
      </c>
      <c r="YK11" s="2">
        <v>1</v>
      </c>
      <c r="YL11" s="2">
        <v>1</v>
      </c>
      <c r="YM11" s="2">
        <v>1</v>
      </c>
      <c r="YN11" s="2">
        <v>1</v>
      </c>
      <c r="YO11" s="2">
        <v>1</v>
      </c>
      <c r="YP11" s="2">
        <v>0</v>
      </c>
      <c r="YQ11" s="2">
        <v>0</v>
      </c>
      <c r="YS11" s="1" t="s">
        <v>1156</v>
      </c>
      <c r="YT11" s="1" t="s">
        <v>2205</v>
      </c>
      <c r="YU11" s="2">
        <v>0</v>
      </c>
      <c r="YV11" s="2">
        <v>0</v>
      </c>
      <c r="YW11" s="2">
        <v>1</v>
      </c>
      <c r="YX11" s="2">
        <v>0</v>
      </c>
      <c r="YY11" s="2">
        <v>0</v>
      </c>
      <c r="ZA11" s="1" t="s">
        <v>1156</v>
      </c>
      <c r="ZB11" s="2" t="s">
        <v>1162</v>
      </c>
      <c r="ZF11" s="1" t="s">
        <v>1155</v>
      </c>
      <c r="ZH11" s="2">
        <v>3</v>
      </c>
      <c r="ZI11" s="1" t="s">
        <v>2109</v>
      </c>
      <c r="ZK11" s="1" t="s">
        <v>1155</v>
      </c>
      <c r="ZL11" s="1" t="s">
        <v>1155</v>
      </c>
      <c r="ZN11" s="1" t="s">
        <v>1156</v>
      </c>
      <c r="ZO11" s="1" t="s">
        <v>1156</v>
      </c>
      <c r="ZP11" s="2">
        <v>3</v>
      </c>
      <c r="ZQ11" s="1" t="s">
        <v>1155</v>
      </c>
      <c r="AVT11" s="1">
        <v>134468553</v>
      </c>
      <c r="AVU11" s="1" t="s">
        <v>2206</v>
      </c>
      <c r="AVW11" s="1">
        <v>194</v>
      </c>
    </row>
    <row r="12" spans="1:1271" ht="14.5" x14ac:dyDescent="0.35">
      <c r="A12" s="1" t="s">
        <v>2207</v>
      </c>
      <c r="B12" s="1" t="s">
        <v>2208</v>
      </c>
      <c r="C12" s="1" t="s">
        <v>2209</v>
      </c>
      <c r="D12" s="1" t="s">
        <v>2181</v>
      </c>
      <c r="E12" s="1" t="s">
        <v>1690</v>
      </c>
      <c r="F12" s="1" t="s">
        <v>2181</v>
      </c>
      <c r="H12" s="2"/>
      <c r="I12" s="1" t="s">
        <v>1659</v>
      </c>
      <c r="J12" s="1" t="s">
        <v>2095</v>
      </c>
      <c r="K12" s="1" t="s">
        <v>2095</v>
      </c>
      <c r="M12"/>
      <c r="N12" s="1" t="s">
        <v>1170</v>
      </c>
      <c r="O12" s="2">
        <v>0</v>
      </c>
      <c r="P12" s="2">
        <v>0</v>
      </c>
      <c r="Q12" s="2">
        <v>1</v>
      </c>
      <c r="R12" s="2">
        <v>0</v>
      </c>
      <c r="S12" s="2">
        <v>0</v>
      </c>
      <c r="ZS12" s="1" t="s">
        <v>2210</v>
      </c>
      <c r="ZT12" s="1" t="s">
        <v>1171</v>
      </c>
      <c r="ZV12" s="1" t="s">
        <v>1179</v>
      </c>
      <c r="ZX12" s="1" t="s">
        <v>1156</v>
      </c>
      <c r="ABD12" s="1" t="s">
        <v>2311</v>
      </c>
      <c r="ABE12" s="1" t="s">
        <v>1173</v>
      </c>
      <c r="ABF12" s="2">
        <v>1</v>
      </c>
      <c r="ABG12" s="2">
        <v>0</v>
      </c>
      <c r="ABH12" s="2">
        <v>0</v>
      </c>
      <c r="ABI12" s="2">
        <v>0</v>
      </c>
      <c r="ABJ12" s="2">
        <v>0</v>
      </c>
      <c r="ABL12" s="1" t="s">
        <v>2211</v>
      </c>
      <c r="ABM12" s="2">
        <v>0</v>
      </c>
      <c r="ABN12" s="2">
        <v>0</v>
      </c>
      <c r="ABO12" s="2">
        <v>1</v>
      </c>
      <c r="ABP12" s="2">
        <v>0</v>
      </c>
      <c r="ABQ12" s="2">
        <v>0</v>
      </c>
      <c r="ABR12" s="2">
        <v>0</v>
      </c>
      <c r="ABS12" s="2">
        <v>0</v>
      </c>
      <c r="ABT12" s="2">
        <v>0</v>
      </c>
      <c r="ABU12" s="2">
        <v>0</v>
      </c>
      <c r="ABV12" s="2">
        <v>1</v>
      </c>
      <c r="ABW12" s="2">
        <v>0</v>
      </c>
      <c r="ABX12" s="2">
        <v>0</v>
      </c>
      <c r="ABZ12" s="2">
        <v>4</v>
      </c>
      <c r="ACA12" s="1" t="s">
        <v>1155</v>
      </c>
      <c r="ACJ12" s="1" t="s">
        <v>1155</v>
      </c>
      <c r="ACM12" s="1" t="s">
        <v>2157</v>
      </c>
      <c r="ACN12" s="2">
        <v>193</v>
      </c>
      <c r="ACO12" s="2">
        <v>31</v>
      </c>
      <c r="ACP12" s="2">
        <v>162</v>
      </c>
      <c r="ACQ12" s="2">
        <v>162</v>
      </c>
      <c r="ACR12" s="2">
        <v>193</v>
      </c>
      <c r="ACT12" s="2">
        <v>6</v>
      </c>
      <c r="ACU12" s="2">
        <v>13</v>
      </c>
      <c r="ACV12" s="1" t="s">
        <v>1156</v>
      </c>
      <c r="ACW12" s="1" t="s">
        <v>1157</v>
      </c>
      <c r="ACX12" s="1" t="s">
        <v>2212</v>
      </c>
      <c r="ACY12" s="2">
        <v>1</v>
      </c>
      <c r="ACZ12" s="2">
        <v>0</v>
      </c>
      <c r="ADA12" s="2">
        <v>0</v>
      </c>
      <c r="ADB12" s="2">
        <v>0</v>
      </c>
      <c r="ADC12" s="2">
        <v>0</v>
      </c>
      <c r="ADD12" s="2">
        <v>0</v>
      </c>
      <c r="ADE12" s="2">
        <v>1</v>
      </c>
      <c r="ADQ12" s="2">
        <v>2</v>
      </c>
      <c r="ADR12" s="2">
        <v>0</v>
      </c>
      <c r="ADS12" s="2">
        <v>2</v>
      </c>
      <c r="ADT12" s="2">
        <v>2</v>
      </c>
      <c r="ADU12" s="2">
        <v>2</v>
      </c>
      <c r="ADW12" s="1" t="s">
        <v>1156</v>
      </c>
      <c r="ADX12" s="1" t="s">
        <v>1166</v>
      </c>
      <c r="AEG12" s="1" t="s">
        <v>2213</v>
      </c>
      <c r="AEH12" s="2">
        <v>0</v>
      </c>
      <c r="AEI12" s="2">
        <v>1</v>
      </c>
      <c r="AEJ12" s="2">
        <v>0</v>
      </c>
      <c r="AEK12" s="2">
        <v>0</v>
      </c>
      <c r="AEL12" s="2">
        <v>0</v>
      </c>
      <c r="AEM12" s="2">
        <v>0</v>
      </c>
      <c r="AEO12" s="2">
        <v>0</v>
      </c>
      <c r="AEP12" s="2">
        <v>0</v>
      </c>
      <c r="AEQ12" s="2">
        <v>0</v>
      </c>
      <c r="AER12" s="2">
        <v>0</v>
      </c>
      <c r="AES12" s="2">
        <v>0</v>
      </c>
      <c r="AEU12" s="1" t="s">
        <v>1155</v>
      </c>
      <c r="AFL12" s="2">
        <v>1</v>
      </c>
      <c r="AFM12" s="2">
        <v>0</v>
      </c>
      <c r="AFN12" s="2">
        <v>1</v>
      </c>
      <c r="AFO12" s="2">
        <v>0</v>
      </c>
      <c r="AFP12" s="2">
        <v>0</v>
      </c>
      <c r="AFR12" s="1" t="s">
        <v>1155</v>
      </c>
      <c r="AGH12" s="1" t="s">
        <v>1174</v>
      </c>
      <c r="AGI12" s="1" t="s">
        <v>1174</v>
      </c>
      <c r="AGJ12" s="1" t="s">
        <v>1155</v>
      </c>
      <c r="AHQ12" s="1" t="s">
        <v>1164</v>
      </c>
      <c r="AHR12" s="2">
        <v>0</v>
      </c>
      <c r="AHS12" s="2">
        <v>0</v>
      </c>
      <c r="AHT12" s="2">
        <v>0</v>
      </c>
      <c r="AHU12" s="2">
        <v>0</v>
      </c>
      <c r="AHV12" s="2">
        <v>1</v>
      </c>
      <c r="AHW12" s="1" t="s">
        <v>2314</v>
      </c>
      <c r="AHX12" s="1" t="s">
        <v>2160</v>
      </c>
      <c r="AHY12" s="2">
        <v>1</v>
      </c>
      <c r="AHZ12" s="2">
        <v>1</v>
      </c>
      <c r="AIA12" s="2">
        <v>1</v>
      </c>
      <c r="AIB12" s="2">
        <v>1</v>
      </c>
      <c r="AIC12" s="2">
        <v>0</v>
      </c>
      <c r="AID12" s="2">
        <v>0</v>
      </c>
      <c r="AIE12" s="2">
        <v>0</v>
      </c>
      <c r="AIF12" s="2">
        <v>0</v>
      </c>
      <c r="AIG12" s="2">
        <v>0</v>
      </c>
      <c r="AIH12" s="2">
        <v>0</v>
      </c>
      <c r="AII12" s="2">
        <v>0</v>
      </c>
      <c r="AIK12" s="1" t="s">
        <v>2214</v>
      </c>
      <c r="AIL12" s="2">
        <v>0</v>
      </c>
      <c r="AIM12" s="2">
        <v>1</v>
      </c>
      <c r="AIN12" s="2">
        <v>0</v>
      </c>
      <c r="AIO12" s="2">
        <v>0</v>
      </c>
      <c r="AIP12" s="2">
        <v>0</v>
      </c>
      <c r="AIQ12" s="2">
        <v>1</v>
      </c>
      <c r="AIR12" s="2">
        <v>0</v>
      </c>
      <c r="AIS12" s="2">
        <v>1</v>
      </c>
      <c r="AIT12" s="2">
        <v>0</v>
      </c>
      <c r="AIU12" s="2">
        <v>0</v>
      </c>
      <c r="AIV12" s="2">
        <v>0</v>
      </c>
      <c r="AIW12" s="2">
        <v>0</v>
      </c>
      <c r="AIX12" s="2">
        <v>1</v>
      </c>
      <c r="AIZ12" s="1" t="s">
        <v>1155</v>
      </c>
      <c r="AKF12" s="1" t="s">
        <v>2215</v>
      </c>
      <c r="AKG12" s="2">
        <v>1</v>
      </c>
      <c r="AKH12" s="2">
        <v>1</v>
      </c>
      <c r="AKI12" s="2">
        <v>1</v>
      </c>
      <c r="AKJ12" s="2">
        <v>1</v>
      </c>
      <c r="AKK12" s="2">
        <v>1</v>
      </c>
      <c r="AKL12" s="2">
        <v>1</v>
      </c>
      <c r="AKM12" s="2">
        <v>1</v>
      </c>
      <c r="AKN12" s="2">
        <v>1</v>
      </c>
      <c r="AKO12" s="2">
        <v>0</v>
      </c>
      <c r="AKP12" s="2">
        <v>1</v>
      </c>
      <c r="AKQ12" s="2">
        <v>0</v>
      </c>
      <c r="AKR12" s="2">
        <v>0</v>
      </c>
      <c r="AVT12" s="1">
        <v>134468754</v>
      </c>
      <c r="AVU12" s="1" t="s">
        <v>2217</v>
      </c>
      <c r="AVW12" s="1">
        <v>195</v>
      </c>
    </row>
    <row r="13" spans="1:1271" ht="14.5" x14ac:dyDescent="0.35">
      <c r="A13" s="1" t="s">
        <v>2218</v>
      </c>
      <c r="B13" s="1" t="s">
        <v>2219</v>
      </c>
      <c r="C13" s="1" t="s">
        <v>2220</v>
      </c>
      <c r="D13" s="1" t="s">
        <v>2190</v>
      </c>
      <c r="E13" s="1" t="s">
        <v>1808</v>
      </c>
      <c r="F13" s="1" t="s">
        <v>2190</v>
      </c>
      <c r="H13" s="2"/>
      <c r="I13" s="1" t="s">
        <v>1659</v>
      </c>
      <c r="J13" s="1" t="s">
        <v>2095</v>
      </c>
      <c r="K13" s="1" t="s">
        <v>2095</v>
      </c>
      <c r="M13"/>
      <c r="N13" s="1" t="s">
        <v>1170</v>
      </c>
      <c r="O13" s="2">
        <v>0</v>
      </c>
      <c r="P13" s="2">
        <v>0</v>
      </c>
      <c r="Q13" s="2">
        <v>1</v>
      </c>
      <c r="R13" s="2">
        <v>0</v>
      </c>
      <c r="S13" s="2">
        <v>0</v>
      </c>
      <c r="ZS13" s="1" t="s">
        <v>2221</v>
      </c>
      <c r="ZT13" s="1" t="s">
        <v>2222</v>
      </c>
      <c r="ZV13" s="1" t="s">
        <v>1176</v>
      </c>
      <c r="ZX13" s="1" t="s">
        <v>1531</v>
      </c>
      <c r="ZY13" s="1" t="s">
        <v>2223</v>
      </c>
      <c r="ZZ13" s="2">
        <v>0</v>
      </c>
      <c r="AAA13" s="2">
        <v>1</v>
      </c>
      <c r="AAB13" s="2">
        <v>0</v>
      </c>
      <c r="AAC13" s="2">
        <v>1</v>
      </c>
      <c r="AAD13" s="2">
        <v>1</v>
      </c>
      <c r="AAE13" s="2">
        <v>1</v>
      </c>
      <c r="AAF13" s="2">
        <v>0</v>
      </c>
      <c r="AAG13" s="2">
        <v>0</v>
      </c>
      <c r="AAI13" s="1" t="s">
        <v>1671</v>
      </c>
      <c r="ABD13" s="1" t="s">
        <v>2312</v>
      </c>
      <c r="ABE13" s="1" t="s">
        <v>1173</v>
      </c>
      <c r="ABF13" s="2">
        <v>1</v>
      </c>
      <c r="ABG13" s="2">
        <v>0</v>
      </c>
      <c r="ABH13" s="2">
        <v>0</v>
      </c>
      <c r="ABI13" s="2">
        <v>0</v>
      </c>
      <c r="ABJ13" s="2">
        <v>0</v>
      </c>
      <c r="ABL13" s="1" t="s">
        <v>2224</v>
      </c>
      <c r="ABM13" s="2">
        <v>0</v>
      </c>
      <c r="ABN13" s="2">
        <v>0</v>
      </c>
      <c r="ABO13" s="2">
        <v>1</v>
      </c>
      <c r="ABP13" s="2">
        <v>0</v>
      </c>
      <c r="ABQ13" s="2">
        <v>0</v>
      </c>
      <c r="ABR13" s="2">
        <v>1</v>
      </c>
      <c r="ABS13" s="2">
        <v>0</v>
      </c>
      <c r="ABT13" s="2">
        <v>0</v>
      </c>
      <c r="ABU13" s="2">
        <v>0</v>
      </c>
      <c r="ABV13" s="2">
        <v>0</v>
      </c>
      <c r="ABW13" s="2">
        <v>0</v>
      </c>
      <c r="ABX13" s="2">
        <v>0</v>
      </c>
      <c r="ABZ13" s="2">
        <v>2</v>
      </c>
      <c r="ACA13" s="1" t="s">
        <v>1155</v>
      </c>
      <c r="ACJ13" s="1" t="s">
        <v>1155</v>
      </c>
      <c r="ACM13" s="1" t="s">
        <v>1155</v>
      </c>
      <c r="ACN13" s="2">
        <v>320</v>
      </c>
      <c r="ACO13" s="2">
        <v>150</v>
      </c>
      <c r="ACP13" s="2">
        <v>170</v>
      </c>
      <c r="ACQ13" s="2">
        <v>170</v>
      </c>
      <c r="ACR13" s="2">
        <v>320</v>
      </c>
      <c r="ACT13" s="2">
        <v>6</v>
      </c>
      <c r="ACU13" s="2">
        <v>19</v>
      </c>
      <c r="ACV13" s="1" t="s">
        <v>1156</v>
      </c>
      <c r="ACW13" s="1" t="s">
        <v>1157</v>
      </c>
      <c r="ACX13" s="1" t="s">
        <v>2225</v>
      </c>
      <c r="ACY13" s="2">
        <v>0</v>
      </c>
      <c r="ACZ13" s="2">
        <v>0</v>
      </c>
      <c r="ADA13" s="2">
        <v>1</v>
      </c>
      <c r="ADB13" s="2">
        <v>0</v>
      </c>
      <c r="ADC13" s="2">
        <v>0</v>
      </c>
      <c r="ADD13" s="2">
        <v>0</v>
      </c>
      <c r="ADE13" s="2">
        <v>1</v>
      </c>
      <c r="ADQ13" s="2">
        <v>0</v>
      </c>
      <c r="ADR13" s="2">
        <v>0</v>
      </c>
      <c r="ADS13" s="2">
        <v>0</v>
      </c>
      <c r="ADT13" s="2">
        <v>0</v>
      </c>
      <c r="ADU13" s="2">
        <v>0</v>
      </c>
      <c r="ADW13" s="1" t="s">
        <v>1155</v>
      </c>
      <c r="AEO13" s="2">
        <v>0</v>
      </c>
      <c r="AEP13" s="2">
        <v>0</v>
      </c>
      <c r="AEQ13" s="2">
        <v>0</v>
      </c>
      <c r="AER13" s="2">
        <v>0</v>
      </c>
      <c r="AES13" s="2">
        <v>0</v>
      </c>
      <c r="AEU13" s="1" t="s">
        <v>1155</v>
      </c>
      <c r="AFL13" s="2">
        <v>6</v>
      </c>
      <c r="AFM13" s="2">
        <v>0</v>
      </c>
      <c r="AFN13" s="2">
        <v>6</v>
      </c>
      <c r="AFO13" s="2">
        <v>6</v>
      </c>
      <c r="AFP13" s="2">
        <v>6</v>
      </c>
      <c r="AFR13" s="1" t="s">
        <v>1156</v>
      </c>
      <c r="AFS13" s="1" t="s">
        <v>1157</v>
      </c>
      <c r="AFT13" s="1" t="s">
        <v>2159</v>
      </c>
      <c r="AFU13" s="2">
        <v>1</v>
      </c>
      <c r="AFV13" s="2">
        <v>1</v>
      </c>
      <c r="AFW13" s="2">
        <v>0</v>
      </c>
      <c r="AFX13" s="2">
        <v>0</v>
      </c>
      <c r="AFY13" s="2">
        <v>0</v>
      </c>
      <c r="AGH13" s="1" t="s">
        <v>1174</v>
      </c>
      <c r="AGI13" s="1" t="s">
        <v>1174</v>
      </c>
      <c r="AGJ13" s="1" t="s">
        <v>1156</v>
      </c>
      <c r="AGK13" s="2">
        <v>500</v>
      </c>
      <c r="AGL13" s="1" t="s">
        <v>1178</v>
      </c>
      <c r="AGM13" s="2">
        <v>1</v>
      </c>
      <c r="AGN13" s="2">
        <v>1</v>
      </c>
      <c r="AGO13" s="2">
        <v>0</v>
      </c>
      <c r="AGP13" s="2">
        <v>0</v>
      </c>
      <c r="AGQ13" s="2">
        <v>0</v>
      </c>
      <c r="AGR13" s="2">
        <v>0</v>
      </c>
      <c r="AGT13" s="1" t="s">
        <v>1155</v>
      </c>
      <c r="AHQ13" s="1" t="s">
        <v>1164</v>
      </c>
      <c r="AHR13" s="2">
        <v>0</v>
      </c>
      <c r="AHS13" s="2">
        <v>0</v>
      </c>
      <c r="AHT13" s="2">
        <v>0</v>
      </c>
      <c r="AHU13" s="2">
        <v>0</v>
      </c>
      <c r="AHV13" s="2">
        <v>1</v>
      </c>
      <c r="AHX13" s="1" t="s">
        <v>2160</v>
      </c>
      <c r="AHY13" s="2">
        <v>1</v>
      </c>
      <c r="AHZ13" s="2">
        <v>1</v>
      </c>
      <c r="AIA13" s="2">
        <v>1</v>
      </c>
      <c r="AIB13" s="2">
        <v>1</v>
      </c>
      <c r="AIC13" s="2">
        <v>0</v>
      </c>
      <c r="AID13" s="2">
        <v>0</v>
      </c>
      <c r="AIE13" s="2">
        <v>0</v>
      </c>
      <c r="AIF13" s="2">
        <v>0</v>
      </c>
      <c r="AIG13" s="2">
        <v>0</v>
      </c>
      <c r="AIH13" s="2">
        <v>0</v>
      </c>
      <c r="AII13" s="2">
        <v>0</v>
      </c>
      <c r="AIK13" s="1" t="s">
        <v>2226</v>
      </c>
      <c r="AIL13" s="2">
        <v>0</v>
      </c>
      <c r="AIM13" s="2">
        <v>1</v>
      </c>
      <c r="AIN13" s="2">
        <v>0</v>
      </c>
      <c r="AIO13" s="2">
        <v>0</v>
      </c>
      <c r="AIP13" s="2">
        <v>1</v>
      </c>
      <c r="AIQ13" s="2">
        <v>1</v>
      </c>
      <c r="AIR13" s="2">
        <v>0</v>
      </c>
      <c r="AIS13" s="2">
        <v>0</v>
      </c>
      <c r="AIT13" s="2">
        <v>0</v>
      </c>
      <c r="AIU13" s="2">
        <v>0</v>
      </c>
      <c r="AIV13" s="2">
        <v>0</v>
      </c>
      <c r="AIW13" s="2">
        <v>0</v>
      </c>
      <c r="AIX13" s="2">
        <v>0</v>
      </c>
      <c r="AIZ13" s="1" t="s">
        <v>1156</v>
      </c>
      <c r="AJA13" s="1" t="s">
        <v>1158</v>
      </c>
      <c r="AJB13" s="2">
        <v>0</v>
      </c>
      <c r="AJC13" s="2">
        <v>0</v>
      </c>
      <c r="AJD13" s="2">
        <v>0</v>
      </c>
      <c r="AJE13" s="2">
        <v>0</v>
      </c>
      <c r="AJF13" s="2">
        <v>1</v>
      </c>
      <c r="AJG13" s="2">
        <v>0</v>
      </c>
      <c r="AJH13" s="2">
        <v>0</v>
      </c>
      <c r="AJJ13" s="1" t="s">
        <v>2227</v>
      </c>
      <c r="AJK13" s="2">
        <v>0</v>
      </c>
      <c r="AJL13" s="2">
        <v>0</v>
      </c>
      <c r="AJM13" s="2">
        <v>1</v>
      </c>
      <c r="AJN13" s="2">
        <v>0</v>
      </c>
      <c r="AJO13" s="2">
        <v>1</v>
      </c>
      <c r="AJP13" s="2">
        <v>1</v>
      </c>
      <c r="AJQ13" s="2">
        <v>1</v>
      </c>
      <c r="AJR13" s="2">
        <v>1</v>
      </c>
      <c r="AJS13" s="2">
        <v>0</v>
      </c>
      <c r="AJT13" s="2">
        <v>1</v>
      </c>
      <c r="AJU13" s="2">
        <v>0</v>
      </c>
      <c r="AJV13" s="2">
        <v>0</v>
      </c>
      <c r="AJX13" s="1" t="s">
        <v>1156</v>
      </c>
      <c r="AKF13" s="1" t="s">
        <v>2228</v>
      </c>
      <c r="AKG13" s="2">
        <v>1</v>
      </c>
      <c r="AKH13" s="2">
        <v>1</v>
      </c>
      <c r="AKI13" s="2">
        <v>1</v>
      </c>
      <c r="AKJ13" s="2">
        <v>1</v>
      </c>
      <c r="AKK13" s="2">
        <v>1</v>
      </c>
      <c r="AKL13" s="2">
        <v>1</v>
      </c>
      <c r="AKM13" s="2">
        <v>0</v>
      </c>
      <c r="AKN13" s="2">
        <v>1</v>
      </c>
      <c r="AKO13" s="2">
        <v>0</v>
      </c>
      <c r="AKP13" s="2">
        <v>0</v>
      </c>
      <c r="AKQ13" s="2">
        <v>0</v>
      </c>
      <c r="AKR13" s="2">
        <v>0</v>
      </c>
      <c r="AVT13" s="1">
        <v>134468755</v>
      </c>
      <c r="AVU13" s="1" t="s">
        <v>2229</v>
      </c>
      <c r="AVW13" s="1">
        <v>196</v>
      </c>
    </row>
    <row r="14" spans="1:1271" ht="14.5" x14ac:dyDescent="0.35">
      <c r="A14" s="1" t="s">
        <v>2230</v>
      </c>
      <c r="B14" s="1" t="s">
        <v>2231</v>
      </c>
      <c r="C14" s="1" t="s">
        <v>2232</v>
      </c>
      <c r="D14" s="1" t="s">
        <v>2190</v>
      </c>
      <c r="E14" s="1" t="s">
        <v>1808</v>
      </c>
      <c r="F14" s="1" t="s">
        <v>2190</v>
      </c>
      <c r="H14" s="2"/>
      <c r="I14" s="1" t="s">
        <v>1659</v>
      </c>
      <c r="J14" s="1" t="s">
        <v>2095</v>
      </c>
      <c r="K14" s="1" t="s">
        <v>2095</v>
      </c>
      <c r="M14"/>
      <c r="N14" s="1" t="s">
        <v>1170</v>
      </c>
      <c r="O14" s="2">
        <v>0</v>
      </c>
      <c r="P14" s="2">
        <v>0</v>
      </c>
      <c r="Q14" s="2">
        <v>1</v>
      </c>
      <c r="R14" s="2">
        <v>0</v>
      </c>
      <c r="S14" s="2">
        <v>0</v>
      </c>
      <c r="ZS14" s="1" t="s">
        <v>2233</v>
      </c>
      <c r="ZT14" s="1" t="s">
        <v>1171</v>
      </c>
      <c r="ZV14" s="1" t="s">
        <v>1179</v>
      </c>
      <c r="ZX14" s="1" t="s">
        <v>1156</v>
      </c>
      <c r="ABD14" s="1" t="s">
        <v>2234</v>
      </c>
      <c r="ABE14" s="1" t="s">
        <v>1173</v>
      </c>
      <c r="ABF14" s="2">
        <v>1</v>
      </c>
      <c r="ABG14" s="2">
        <v>0</v>
      </c>
      <c r="ABH14" s="2">
        <v>0</v>
      </c>
      <c r="ABI14" s="2">
        <v>0</v>
      </c>
      <c r="ABJ14" s="2">
        <v>0</v>
      </c>
      <c r="ABL14" s="1" t="s">
        <v>1159</v>
      </c>
      <c r="ABM14" s="2">
        <v>0</v>
      </c>
      <c r="ABN14" s="2">
        <v>0</v>
      </c>
      <c r="ABO14" s="2">
        <v>1</v>
      </c>
      <c r="ABP14" s="2">
        <v>0</v>
      </c>
      <c r="ABQ14" s="2">
        <v>0</v>
      </c>
      <c r="ABR14" s="2">
        <v>0</v>
      </c>
      <c r="ABS14" s="2">
        <v>0</v>
      </c>
      <c r="ABT14" s="2">
        <v>0</v>
      </c>
      <c r="ABU14" s="2">
        <v>0</v>
      </c>
      <c r="ABV14" s="2">
        <v>0</v>
      </c>
      <c r="ABW14" s="2">
        <v>0</v>
      </c>
      <c r="ABX14" s="2">
        <v>0</v>
      </c>
      <c r="ABZ14" s="2">
        <v>3</v>
      </c>
      <c r="ACA14" s="1" t="s">
        <v>1155</v>
      </c>
      <c r="ACJ14" s="1" t="s">
        <v>1155</v>
      </c>
      <c r="ACM14" s="1" t="s">
        <v>1156</v>
      </c>
      <c r="ACN14" s="2">
        <v>300</v>
      </c>
      <c r="ACO14" s="2">
        <v>161</v>
      </c>
      <c r="ACP14" s="2">
        <v>139</v>
      </c>
      <c r="ACQ14" s="2">
        <v>139</v>
      </c>
      <c r="ACR14" s="2">
        <v>300</v>
      </c>
      <c r="ACT14" s="2">
        <v>5</v>
      </c>
      <c r="ACU14" s="2">
        <v>19</v>
      </c>
      <c r="ACV14" s="1" t="s">
        <v>1156</v>
      </c>
      <c r="ACW14" s="1" t="s">
        <v>1157</v>
      </c>
      <c r="ACX14" s="1" t="s">
        <v>2212</v>
      </c>
      <c r="ACY14" s="2">
        <v>1</v>
      </c>
      <c r="ACZ14" s="2">
        <v>0</v>
      </c>
      <c r="ADA14" s="2">
        <v>0</v>
      </c>
      <c r="ADB14" s="2">
        <v>0</v>
      </c>
      <c r="ADC14" s="2">
        <v>0</v>
      </c>
      <c r="ADD14" s="2">
        <v>0</v>
      </c>
      <c r="ADE14" s="2">
        <v>1</v>
      </c>
      <c r="ADQ14" s="2">
        <v>0</v>
      </c>
      <c r="ADR14" s="2">
        <v>0</v>
      </c>
      <c r="ADS14" s="2">
        <v>0</v>
      </c>
      <c r="ADT14" s="2">
        <v>0</v>
      </c>
      <c r="ADU14" s="2">
        <v>0</v>
      </c>
      <c r="ADW14" s="1" t="s">
        <v>1155</v>
      </c>
      <c r="AEO14" s="2">
        <v>0</v>
      </c>
      <c r="AEP14" s="2">
        <v>0</v>
      </c>
      <c r="AEQ14" s="2">
        <v>0</v>
      </c>
      <c r="AER14" s="2">
        <v>0</v>
      </c>
      <c r="AES14" s="2">
        <v>0</v>
      </c>
      <c r="AEU14" s="1" t="s">
        <v>1155</v>
      </c>
      <c r="AFL14" s="2">
        <v>3</v>
      </c>
      <c r="AFM14" s="2">
        <v>0</v>
      </c>
      <c r="AFN14" s="2">
        <v>3</v>
      </c>
      <c r="AFO14" s="2">
        <v>3</v>
      </c>
      <c r="AFP14" s="2">
        <v>3</v>
      </c>
      <c r="AFR14" s="1" t="s">
        <v>1155</v>
      </c>
      <c r="AGH14" s="1" t="s">
        <v>1174</v>
      </c>
      <c r="AGI14" s="1" t="s">
        <v>1174</v>
      </c>
      <c r="AGJ14" s="1" t="s">
        <v>1155</v>
      </c>
      <c r="AHQ14" s="1" t="s">
        <v>1164</v>
      </c>
      <c r="AHR14" s="2">
        <v>0</v>
      </c>
      <c r="AHS14" s="2">
        <v>0</v>
      </c>
      <c r="AHT14" s="2">
        <v>0</v>
      </c>
      <c r="AHU14" s="2">
        <v>0</v>
      </c>
      <c r="AHV14" s="2">
        <v>1</v>
      </c>
      <c r="AHX14" s="1" t="s">
        <v>2160</v>
      </c>
      <c r="AHY14" s="2">
        <v>1</v>
      </c>
      <c r="AHZ14" s="2">
        <v>1</v>
      </c>
      <c r="AIA14" s="2">
        <v>1</v>
      </c>
      <c r="AIB14" s="2">
        <v>1</v>
      </c>
      <c r="AIC14" s="2">
        <v>0</v>
      </c>
      <c r="AID14" s="2">
        <v>0</v>
      </c>
      <c r="AIE14" s="2">
        <v>0</v>
      </c>
      <c r="AIF14" s="2">
        <v>0</v>
      </c>
      <c r="AIG14" s="2">
        <v>0</v>
      </c>
      <c r="AIH14" s="2">
        <v>0</v>
      </c>
      <c r="AII14" s="2">
        <v>0</v>
      </c>
      <c r="AIK14" s="1" t="s">
        <v>2235</v>
      </c>
      <c r="AIL14" s="2">
        <v>0</v>
      </c>
      <c r="AIM14" s="2">
        <v>1</v>
      </c>
      <c r="AIN14" s="2">
        <v>0</v>
      </c>
      <c r="AIO14" s="2">
        <v>0</v>
      </c>
      <c r="AIP14" s="2">
        <v>0</v>
      </c>
      <c r="AIQ14" s="2">
        <v>1</v>
      </c>
      <c r="AIR14" s="2">
        <v>1</v>
      </c>
      <c r="AIS14" s="2">
        <v>1</v>
      </c>
      <c r="AIT14" s="2">
        <v>0</v>
      </c>
      <c r="AIU14" s="2">
        <v>0</v>
      </c>
      <c r="AIV14" s="2">
        <v>0</v>
      </c>
      <c r="AIW14" s="2">
        <v>0</v>
      </c>
      <c r="AIX14" s="2">
        <v>1</v>
      </c>
      <c r="AIZ14" s="1" t="s">
        <v>1155</v>
      </c>
      <c r="AKF14" s="1" t="s">
        <v>2236</v>
      </c>
      <c r="AKG14" s="2">
        <v>0</v>
      </c>
      <c r="AKH14" s="2">
        <v>1</v>
      </c>
      <c r="AKI14" s="2">
        <v>1</v>
      </c>
      <c r="AKJ14" s="2">
        <v>1</v>
      </c>
      <c r="AKK14" s="2">
        <v>1</v>
      </c>
      <c r="AKL14" s="2">
        <v>1</v>
      </c>
      <c r="AKM14" s="2">
        <v>1</v>
      </c>
      <c r="AKN14" s="2">
        <v>1</v>
      </c>
      <c r="AKO14" s="2">
        <v>0</v>
      </c>
      <c r="AKP14" s="2">
        <v>1</v>
      </c>
      <c r="AKQ14" s="2">
        <v>0</v>
      </c>
      <c r="AKR14" s="2">
        <v>0</v>
      </c>
      <c r="AVT14" s="1">
        <v>134468768</v>
      </c>
      <c r="AVU14" s="1" t="s">
        <v>2237</v>
      </c>
      <c r="AVW14" s="1">
        <v>197</v>
      </c>
    </row>
    <row r="15" spans="1:1271" ht="14.5" x14ac:dyDescent="0.35">
      <c r="A15" s="1" t="s">
        <v>2238</v>
      </c>
      <c r="B15" s="1" t="s">
        <v>2239</v>
      </c>
      <c r="C15" s="1" t="s">
        <v>2240</v>
      </c>
      <c r="D15" s="1" t="s">
        <v>2190</v>
      </c>
      <c r="E15" s="1" t="s">
        <v>1808</v>
      </c>
      <c r="F15" s="1" t="s">
        <v>2190</v>
      </c>
      <c r="H15" s="2"/>
      <c r="I15" s="1" t="s">
        <v>1659</v>
      </c>
      <c r="J15" s="1" t="s">
        <v>2095</v>
      </c>
      <c r="K15" s="1" t="s">
        <v>2095</v>
      </c>
      <c r="M15"/>
      <c r="N15" s="1" t="s">
        <v>1160</v>
      </c>
      <c r="O15" s="2">
        <v>0</v>
      </c>
      <c r="P15" s="2">
        <v>0</v>
      </c>
      <c r="Q15" s="2">
        <v>0</v>
      </c>
      <c r="R15" s="2">
        <v>0</v>
      </c>
      <c r="S15" s="2">
        <v>1</v>
      </c>
      <c r="AKT15" s="1" t="s">
        <v>2241</v>
      </c>
      <c r="AKU15" s="1" t="s">
        <v>1156</v>
      </c>
      <c r="ALF15" s="1" t="s">
        <v>1155</v>
      </c>
      <c r="ALG15" s="1" t="s">
        <v>1156</v>
      </c>
      <c r="ALN15" s="1" t="s">
        <v>2242</v>
      </c>
      <c r="ALO15" s="2">
        <v>1</v>
      </c>
      <c r="ALP15" s="2">
        <v>1</v>
      </c>
      <c r="ALQ15" s="2">
        <v>0</v>
      </c>
      <c r="ALR15" s="2">
        <v>1</v>
      </c>
      <c r="ALS15" s="2">
        <v>1</v>
      </c>
      <c r="ALT15" s="2">
        <v>0</v>
      </c>
      <c r="ALU15" s="2">
        <v>1</v>
      </c>
      <c r="ALV15" s="2">
        <v>0</v>
      </c>
      <c r="ALX15" s="1" t="s">
        <v>1165</v>
      </c>
      <c r="ALY15" s="2">
        <v>1</v>
      </c>
      <c r="ALZ15" s="2">
        <v>1</v>
      </c>
      <c r="AMA15" s="2">
        <v>1</v>
      </c>
      <c r="AMB15" s="2">
        <v>1</v>
      </c>
      <c r="AMC15" s="2">
        <v>1</v>
      </c>
      <c r="AMD15" s="2">
        <v>1</v>
      </c>
      <c r="AME15" s="2">
        <v>1</v>
      </c>
      <c r="AMF15" s="1" t="s">
        <v>2125</v>
      </c>
      <c r="AMG15" s="2">
        <v>0</v>
      </c>
      <c r="AMH15" s="2">
        <v>1</v>
      </c>
      <c r="AMI15" s="2">
        <v>0</v>
      </c>
      <c r="AMJ15" s="2">
        <v>0</v>
      </c>
      <c r="AMK15" s="2">
        <v>0</v>
      </c>
      <c r="AMM15" s="1" t="s">
        <v>1155</v>
      </c>
      <c r="AMW15" s="2" t="s">
        <v>1162</v>
      </c>
      <c r="AMX15" s="1" t="s">
        <v>1156</v>
      </c>
      <c r="AMY15" s="1" t="s">
        <v>1157</v>
      </c>
      <c r="AMZ15" s="1" t="s">
        <v>2243</v>
      </c>
      <c r="ANA15" s="2">
        <v>1</v>
      </c>
      <c r="ANB15" s="2">
        <v>0</v>
      </c>
      <c r="ANC15" s="2">
        <v>0</v>
      </c>
      <c r="AND15" s="2">
        <v>0</v>
      </c>
      <c r="ANE15" s="2">
        <v>0</v>
      </c>
      <c r="ANF15" s="2">
        <v>0</v>
      </c>
      <c r="ANG15" s="2">
        <v>1</v>
      </c>
      <c r="ANH15" s="2">
        <v>0</v>
      </c>
      <c r="ANI15" s="2">
        <v>0</v>
      </c>
      <c r="ANX15" s="1" t="s">
        <v>1155</v>
      </c>
      <c r="ANZ15" s="1" t="s">
        <v>2244</v>
      </c>
      <c r="AOA15" s="2">
        <v>0</v>
      </c>
      <c r="AOB15" s="2">
        <v>1</v>
      </c>
      <c r="AOC15" s="2">
        <v>0</v>
      </c>
      <c r="AOD15" s="2">
        <v>0</v>
      </c>
      <c r="AOE15" s="2">
        <v>0</v>
      </c>
      <c r="AOF15" s="2">
        <v>1</v>
      </c>
      <c r="AOG15" s="2">
        <v>0</v>
      </c>
      <c r="AOH15" s="2">
        <v>0</v>
      </c>
      <c r="AOJ15" s="1" t="s">
        <v>2245</v>
      </c>
      <c r="AOL15" s="1" t="s">
        <v>1394</v>
      </c>
      <c r="AOO15" s="1" t="s">
        <v>1198</v>
      </c>
      <c r="AOP15" s="2">
        <v>0</v>
      </c>
      <c r="AOQ15" s="2">
        <v>1</v>
      </c>
      <c r="AOR15" s="2">
        <v>0</v>
      </c>
      <c r="AOS15" s="2">
        <v>0</v>
      </c>
      <c r="AOT15" s="2">
        <v>0</v>
      </c>
      <c r="AOU15" s="2">
        <v>0</v>
      </c>
      <c r="AOV15" s="2">
        <v>0</v>
      </c>
      <c r="AOW15" s="2">
        <v>0</v>
      </c>
      <c r="AOY15" s="1" t="s">
        <v>2245</v>
      </c>
      <c r="APA15" s="1" t="s">
        <v>2246</v>
      </c>
      <c r="APC15" s="2">
        <v>90</v>
      </c>
      <c r="APD15" s="2">
        <v>100</v>
      </c>
      <c r="APF15" s="1" t="s">
        <v>1156</v>
      </c>
      <c r="APG15" s="1" t="s">
        <v>1157</v>
      </c>
      <c r="APH15" s="1" t="s">
        <v>2247</v>
      </c>
      <c r="API15" s="2">
        <v>0</v>
      </c>
      <c r="APJ15" s="2">
        <v>0</v>
      </c>
      <c r="APK15" s="2">
        <v>1</v>
      </c>
      <c r="APL15" s="2">
        <v>0</v>
      </c>
      <c r="APM15" s="2">
        <v>0</v>
      </c>
      <c r="APN15" s="2">
        <v>0</v>
      </c>
      <c r="APO15" s="2">
        <v>0</v>
      </c>
      <c r="APZ15" s="1" t="s">
        <v>2248</v>
      </c>
      <c r="AQA15" s="2">
        <v>1</v>
      </c>
      <c r="AQB15" s="2">
        <v>0</v>
      </c>
      <c r="AQC15" s="2">
        <v>0</v>
      </c>
      <c r="AQD15" s="2">
        <v>0</v>
      </c>
      <c r="AQE15" s="2">
        <v>0</v>
      </c>
      <c r="AQF15" s="2">
        <v>0</v>
      </c>
      <c r="AQG15" s="1" t="s">
        <v>2249</v>
      </c>
      <c r="AQI15" s="2">
        <v>2000</v>
      </c>
      <c r="AQJ15" s="1" t="s">
        <v>1532</v>
      </c>
      <c r="ARG15" s="1" t="s">
        <v>1159</v>
      </c>
      <c r="ARH15" s="2">
        <v>0</v>
      </c>
      <c r="ARI15" s="2">
        <v>0</v>
      </c>
      <c r="ARJ15" s="2">
        <v>1</v>
      </c>
      <c r="ARK15" s="2">
        <v>0</v>
      </c>
      <c r="ARL15" s="2">
        <v>0</v>
      </c>
      <c r="ARM15" s="2">
        <v>0</v>
      </c>
      <c r="ARN15" s="2">
        <v>0</v>
      </c>
      <c r="ARO15" s="2">
        <v>0</v>
      </c>
      <c r="ARP15" s="2">
        <v>0</v>
      </c>
      <c r="ARQ15" s="2">
        <v>0</v>
      </c>
      <c r="ARR15" s="2">
        <v>0</v>
      </c>
      <c r="ARS15" s="2">
        <v>0</v>
      </c>
      <c r="ARU15" s="1" t="s">
        <v>1154</v>
      </c>
      <c r="ARV15" s="2">
        <v>0</v>
      </c>
      <c r="ARW15" s="2">
        <v>0</v>
      </c>
      <c r="ARX15" s="2">
        <v>0</v>
      </c>
      <c r="ARY15" s="2">
        <v>0</v>
      </c>
      <c r="ARZ15" s="2">
        <v>0</v>
      </c>
      <c r="ASA15" s="2">
        <v>0</v>
      </c>
      <c r="ASB15" s="2">
        <v>1</v>
      </c>
      <c r="ASC15" s="57" t="s">
        <v>2250</v>
      </c>
      <c r="ASD15" s="1" t="s">
        <v>1155</v>
      </c>
      <c r="ASN15" s="1" t="s">
        <v>1164</v>
      </c>
      <c r="ASO15" s="2">
        <v>0</v>
      </c>
      <c r="ASP15" s="2">
        <v>0</v>
      </c>
      <c r="ASQ15" s="2">
        <v>0</v>
      </c>
      <c r="ASR15" s="2">
        <v>0</v>
      </c>
      <c r="ASS15" s="2">
        <v>1</v>
      </c>
      <c r="ASU15" s="1" t="s">
        <v>2251</v>
      </c>
      <c r="ASV15" s="2">
        <v>0</v>
      </c>
      <c r="ASW15" s="2">
        <v>0</v>
      </c>
      <c r="ASX15" s="2">
        <v>0</v>
      </c>
      <c r="ASY15" s="2">
        <v>0</v>
      </c>
      <c r="ASZ15" s="2">
        <v>0</v>
      </c>
      <c r="ATA15" s="2">
        <v>0</v>
      </c>
      <c r="ATB15" s="2">
        <v>0</v>
      </c>
      <c r="ATC15" s="2">
        <v>1</v>
      </c>
      <c r="ATD15" s="2">
        <v>0</v>
      </c>
      <c r="ATE15" s="2">
        <v>0</v>
      </c>
      <c r="ATF15" s="2">
        <v>0</v>
      </c>
      <c r="ATG15" s="2">
        <v>0</v>
      </c>
      <c r="ATH15" s="2">
        <v>0</v>
      </c>
      <c r="ATJ15" s="1" t="s">
        <v>2252</v>
      </c>
      <c r="ATK15" s="2">
        <v>1</v>
      </c>
      <c r="ATL15" s="2">
        <v>1</v>
      </c>
      <c r="ATM15" s="2">
        <v>1</v>
      </c>
      <c r="ATN15" s="2">
        <v>0</v>
      </c>
      <c r="ATO15" s="2">
        <v>0</v>
      </c>
      <c r="ATP15" s="2">
        <v>0</v>
      </c>
      <c r="ATQ15" s="2">
        <v>0</v>
      </c>
      <c r="ATR15" s="2">
        <v>0</v>
      </c>
      <c r="ATS15" s="2">
        <v>1</v>
      </c>
      <c r="ATT15" s="2">
        <v>0</v>
      </c>
      <c r="ATU15" s="2">
        <v>1</v>
      </c>
      <c r="ATV15" s="2">
        <v>1</v>
      </c>
      <c r="ATW15" s="2">
        <v>0</v>
      </c>
      <c r="ATX15" s="2">
        <v>0</v>
      </c>
      <c r="ATY15" s="2">
        <v>0</v>
      </c>
      <c r="ATZ15" s="2">
        <v>0</v>
      </c>
      <c r="AUA15" s="2">
        <v>0</v>
      </c>
      <c r="AUC15" s="1" t="s">
        <v>1155</v>
      </c>
      <c r="AVG15" s="1" t="s">
        <v>2253</v>
      </c>
      <c r="AVH15" s="2">
        <v>0</v>
      </c>
      <c r="AVI15" s="2">
        <v>1</v>
      </c>
      <c r="AVJ15" s="2">
        <v>1</v>
      </c>
      <c r="AVK15" s="2">
        <v>1</v>
      </c>
      <c r="AVL15" s="2">
        <v>0</v>
      </c>
      <c r="AVM15" s="2">
        <v>0</v>
      </c>
      <c r="AVN15" s="2">
        <v>1</v>
      </c>
      <c r="AVO15" s="2">
        <v>0</v>
      </c>
      <c r="AVP15" s="2">
        <v>0</v>
      </c>
      <c r="AVT15" s="1">
        <v>134468789</v>
      </c>
      <c r="AVU15" s="1" t="s">
        <v>2254</v>
      </c>
      <c r="AVW15" s="1">
        <v>198</v>
      </c>
    </row>
    <row r="16" spans="1:1271" ht="14.5" x14ac:dyDescent="0.35">
      <c r="A16" s="1" t="s">
        <v>2255</v>
      </c>
      <c r="B16" s="1" t="s">
        <v>2256</v>
      </c>
      <c r="C16" s="1" t="s">
        <v>2257</v>
      </c>
      <c r="D16" s="1" t="s">
        <v>2258</v>
      </c>
      <c r="E16" s="1" t="s">
        <v>1808</v>
      </c>
      <c r="F16" s="1" t="s">
        <v>2258</v>
      </c>
      <c r="H16" s="2"/>
      <c r="I16" s="1" t="s">
        <v>1659</v>
      </c>
      <c r="J16" s="1" t="s">
        <v>2095</v>
      </c>
      <c r="K16" s="1" t="s">
        <v>2095</v>
      </c>
      <c r="M16"/>
      <c r="N16" s="1" t="s">
        <v>1153</v>
      </c>
      <c r="O16" s="2">
        <v>1</v>
      </c>
      <c r="P16" s="2">
        <v>0</v>
      </c>
      <c r="Q16" s="2">
        <v>0</v>
      </c>
      <c r="R16" s="2">
        <v>0</v>
      </c>
      <c r="S16" s="2">
        <v>0</v>
      </c>
      <c r="U16" s="1" t="s">
        <v>2259</v>
      </c>
      <c r="W16" s="1" t="s">
        <v>1156</v>
      </c>
      <c r="X16" s="1" t="s">
        <v>1156</v>
      </c>
      <c r="AN16" s="1" t="s">
        <v>1192</v>
      </c>
      <c r="AO16" s="2" t="s">
        <v>1162</v>
      </c>
      <c r="AP16" s="1" t="s">
        <v>2145</v>
      </c>
      <c r="AR16" s="1" t="s">
        <v>1801</v>
      </c>
      <c r="AS16" s="1" t="s">
        <v>2260</v>
      </c>
      <c r="AT16" s="1" t="s">
        <v>1156</v>
      </c>
      <c r="AU16" s="1" t="s">
        <v>1157</v>
      </c>
      <c r="AV16" s="1" t="s">
        <v>2261</v>
      </c>
      <c r="AW16" s="2">
        <v>1</v>
      </c>
      <c r="AX16" s="2">
        <v>0</v>
      </c>
      <c r="AY16" s="2">
        <v>0</v>
      </c>
      <c r="AZ16" s="2">
        <v>0</v>
      </c>
      <c r="BA16" s="2">
        <v>0</v>
      </c>
      <c r="BB16" s="2">
        <v>1</v>
      </c>
      <c r="BC16" s="2">
        <v>0</v>
      </c>
      <c r="BD16" s="2">
        <v>0</v>
      </c>
      <c r="BO16" s="1" t="s">
        <v>2262</v>
      </c>
      <c r="BP16" s="2">
        <v>0</v>
      </c>
      <c r="BQ16" s="2">
        <v>0</v>
      </c>
      <c r="BR16" s="2">
        <v>0</v>
      </c>
      <c r="BS16" s="2">
        <v>0</v>
      </c>
      <c r="BT16" s="2">
        <v>0</v>
      </c>
      <c r="BU16" s="2">
        <v>1</v>
      </c>
      <c r="BV16" s="2">
        <v>0</v>
      </c>
      <c r="BW16" s="2">
        <v>0</v>
      </c>
      <c r="BX16" s="2">
        <v>0</v>
      </c>
      <c r="BY16" s="2">
        <v>0</v>
      </c>
      <c r="BZ16" s="2">
        <v>1</v>
      </c>
      <c r="CA16" s="2">
        <v>0</v>
      </c>
      <c r="CC16" s="1" t="s">
        <v>1155</v>
      </c>
      <c r="DQ16" s="1" t="s">
        <v>1164</v>
      </c>
      <c r="DR16" s="2">
        <v>0</v>
      </c>
      <c r="DS16" s="2">
        <v>0</v>
      </c>
      <c r="DT16" s="2">
        <v>0</v>
      </c>
      <c r="DU16" s="2">
        <v>0</v>
      </c>
      <c r="DV16" s="2">
        <v>1</v>
      </c>
      <c r="DX16" s="1" t="s">
        <v>2263</v>
      </c>
      <c r="DY16" s="2">
        <v>1</v>
      </c>
      <c r="DZ16" s="2">
        <v>1</v>
      </c>
      <c r="EA16" s="2">
        <v>0</v>
      </c>
      <c r="EB16" s="2">
        <v>0</v>
      </c>
      <c r="EC16" s="2">
        <v>0</v>
      </c>
      <c r="ED16" s="2">
        <v>0</v>
      </c>
      <c r="EE16" s="2">
        <v>0</v>
      </c>
      <c r="EF16" s="2">
        <v>1</v>
      </c>
      <c r="EG16" s="2">
        <v>1</v>
      </c>
      <c r="EH16" s="2">
        <v>0</v>
      </c>
      <c r="EI16" s="2">
        <v>0</v>
      </c>
      <c r="EJ16" s="2">
        <v>0</v>
      </c>
      <c r="EK16" s="2">
        <v>1</v>
      </c>
      <c r="EM16" s="1" t="s">
        <v>1788</v>
      </c>
      <c r="EN16" s="2">
        <v>0</v>
      </c>
      <c r="EO16" s="2">
        <v>0</v>
      </c>
      <c r="EP16" s="2">
        <v>0</v>
      </c>
      <c r="EQ16" s="2">
        <v>0</v>
      </c>
      <c r="ER16" s="2">
        <v>0</v>
      </c>
      <c r="ES16" s="2">
        <v>0</v>
      </c>
      <c r="ET16" s="2">
        <v>1</v>
      </c>
      <c r="EU16" s="2">
        <v>1</v>
      </c>
      <c r="EV16" s="2">
        <v>0</v>
      </c>
      <c r="EW16" s="2">
        <v>0</v>
      </c>
      <c r="EX16" s="2">
        <v>0</v>
      </c>
      <c r="EY16" s="2">
        <v>0</v>
      </c>
      <c r="EZ16" s="2">
        <v>0</v>
      </c>
      <c r="FB16" s="1" t="s">
        <v>1155</v>
      </c>
      <c r="GI16" s="1" t="s">
        <v>2264</v>
      </c>
      <c r="GJ16" s="2">
        <v>0</v>
      </c>
      <c r="GK16" s="2">
        <v>1</v>
      </c>
      <c r="GL16" s="2">
        <v>0</v>
      </c>
      <c r="GM16" s="2">
        <v>1</v>
      </c>
      <c r="GN16" s="2">
        <v>1</v>
      </c>
      <c r="GO16" s="2">
        <v>0</v>
      </c>
      <c r="GP16" s="2">
        <v>1</v>
      </c>
      <c r="GQ16" s="2">
        <v>1</v>
      </c>
      <c r="GR16" s="2">
        <v>0</v>
      </c>
      <c r="GS16" s="2">
        <v>0</v>
      </c>
      <c r="GT16" s="2">
        <v>0</v>
      </c>
      <c r="GU16" s="2">
        <v>0</v>
      </c>
      <c r="GV16" s="2">
        <v>0</v>
      </c>
      <c r="AVT16" s="1">
        <v>134468835</v>
      </c>
      <c r="AVU16" s="1" t="s">
        <v>2265</v>
      </c>
      <c r="AVW16" s="1">
        <v>199</v>
      </c>
    </row>
    <row r="17" spans="1:983 1268:1271" ht="14.5" x14ac:dyDescent="0.35">
      <c r="A17" s="1" t="s">
        <v>2266</v>
      </c>
      <c r="B17" s="1" t="s">
        <v>2267</v>
      </c>
      <c r="C17" s="1" t="s">
        <v>2268</v>
      </c>
      <c r="D17" s="1" t="s">
        <v>2258</v>
      </c>
      <c r="E17" s="1" t="s">
        <v>1808</v>
      </c>
      <c r="F17" s="1" t="s">
        <v>2258</v>
      </c>
      <c r="H17" s="2"/>
      <c r="I17" s="1" t="s">
        <v>1659</v>
      </c>
      <c r="J17" s="1" t="s">
        <v>2095</v>
      </c>
      <c r="K17" s="1" t="s">
        <v>2095</v>
      </c>
      <c r="M17"/>
      <c r="N17" s="1" t="s">
        <v>1153</v>
      </c>
      <c r="O17" s="2">
        <v>1</v>
      </c>
      <c r="P17" s="2">
        <v>0</v>
      </c>
      <c r="Q17" s="2">
        <v>0</v>
      </c>
      <c r="R17" s="2">
        <v>0</v>
      </c>
      <c r="S17" s="2">
        <v>0</v>
      </c>
      <c r="U17" s="1" t="s">
        <v>2167</v>
      </c>
      <c r="W17" s="1" t="s">
        <v>1156</v>
      </c>
      <c r="X17" s="1" t="s">
        <v>1156</v>
      </c>
      <c r="AN17" s="1" t="s">
        <v>1192</v>
      </c>
      <c r="AO17" s="2">
        <v>300</v>
      </c>
      <c r="AP17" s="1" t="s">
        <v>2145</v>
      </c>
      <c r="AR17" s="1" t="s">
        <v>1801</v>
      </c>
      <c r="AS17" s="1" t="s">
        <v>2260</v>
      </c>
      <c r="AT17" s="1" t="s">
        <v>1156</v>
      </c>
      <c r="AU17" s="1" t="s">
        <v>1157</v>
      </c>
      <c r="AV17" s="1" t="s">
        <v>2269</v>
      </c>
      <c r="AW17" s="2">
        <v>0</v>
      </c>
      <c r="AX17" s="2">
        <v>0</v>
      </c>
      <c r="AY17" s="2">
        <v>1</v>
      </c>
      <c r="AZ17" s="2">
        <v>1</v>
      </c>
      <c r="BA17" s="2">
        <v>0</v>
      </c>
      <c r="BB17" s="2">
        <v>1</v>
      </c>
      <c r="BC17" s="2">
        <v>0</v>
      </c>
      <c r="BD17" s="2">
        <v>0</v>
      </c>
      <c r="BO17" s="1" t="s">
        <v>2170</v>
      </c>
      <c r="BP17" s="2">
        <v>0</v>
      </c>
      <c r="BQ17" s="2">
        <v>0</v>
      </c>
      <c r="BR17" s="2">
        <v>0</v>
      </c>
      <c r="BS17" s="2">
        <v>0</v>
      </c>
      <c r="BT17" s="2">
        <v>0</v>
      </c>
      <c r="BU17" s="2">
        <v>1</v>
      </c>
      <c r="BV17" s="2">
        <v>0</v>
      </c>
      <c r="BW17" s="2">
        <v>0</v>
      </c>
      <c r="BX17" s="2">
        <v>0</v>
      </c>
      <c r="BY17" s="2">
        <v>1</v>
      </c>
      <c r="BZ17" s="2">
        <v>0</v>
      </c>
      <c r="CA17" s="2">
        <v>0</v>
      </c>
      <c r="CC17" s="1" t="s">
        <v>1155</v>
      </c>
      <c r="DQ17" s="1" t="s">
        <v>1164</v>
      </c>
      <c r="DR17" s="2">
        <v>0</v>
      </c>
      <c r="DS17" s="2">
        <v>0</v>
      </c>
      <c r="DT17" s="2">
        <v>0</v>
      </c>
      <c r="DU17" s="2">
        <v>0</v>
      </c>
      <c r="DV17" s="2">
        <v>1</v>
      </c>
      <c r="DX17" s="1" t="s">
        <v>2270</v>
      </c>
      <c r="DY17" s="2">
        <v>1</v>
      </c>
      <c r="DZ17" s="2">
        <v>1</v>
      </c>
      <c r="EA17" s="2">
        <v>0</v>
      </c>
      <c r="EB17" s="2">
        <v>0</v>
      </c>
      <c r="EC17" s="2">
        <v>0</v>
      </c>
      <c r="ED17" s="2">
        <v>0</v>
      </c>
      <c r="EE17" s="2">
        <v>0</v>
      </c>
      <c r="EF17" s="2">
        <v>1</v>
      </c>
      <c r="EG17" s="2">
        <v>1</v>
      </c>
      <c r="EH17" s="2">
        <v>0</v>
      </c>
      <c r="EI17" s="2">
        <v>0</v>
      </c>
      <c r="EJ17" s="2">
        <v>0</v>
      </c>
      <c r="EK17" s="2">
        <v>0</v>
      </c>
      <c r="EM17" s="1" t="s">
        <v>2271</v>
      </c>
      <c r="EN17" s="2">
        <v>0</v>
      </c>
      <c r="EO17" s="2">
        <v>0</v>
      </c>
      <c r="EP17" s="2">
        <v>0</v>
      </c>
      <c r="EQ17" s="2">
        <v>0</v>
      </c>
      <c r="ER17" s="2">
        <v>1</v>
      </c>
      <c r="ES17" s="2">
        <v>1</v>
      </c>
      <c r="ET17" s="2">
        <v>0</v>
      </c>
      <c r="EU17" s="2">
        <v>0</v>
      </c>
      <c r="EV17" s="2">
        <v>0</v>
      </c>
      <c r="EW17" s="2">
        <v>0</v>
      </c>
      <c r="EX17" s="2">
        <v>0</v>
      </c>
      <c r="EY17" s="2">
        <v>0</v>
      </c>
      <c r="EZ17" s="2">
        <v>0</v>
      </c>
      <c r="FB17" s="1" t="s">
        <v>1155</v>
      </c>
      <c r="GI17" s="1" t="s">
        <v>2272</v>
      </c>
      <c r="GJ17" s="2">
        <v>1</v>
      </c>
      <c r="GK17" s="2">
        <v>1</v>
      </c>
      <c r="GL17" s="2">
        <v>1</v>
      </c>
      <c r="GM17" s="2">
        <v>0</v>
      </c>
      <c r="GN17" s="2">
        <v>0</v>
      </c>
      <c r="GO17" s="2">
        <v>0</v>
      </c>
      <c r="GP17" s="2">
        <v>1</v>
      </c>
      <c r="GQ17" s="2">
        <v>1</v>
      </c>
      <c r="GR17" s="2">
        <v>0</v>
      </c>
      <c r="GS17" s="2">
        <v>0</v>
      </c>
      <c r="GT17" s="2">
        <v>1</v>
      </c>
      <c r="GU17" s="2">
        <v>0</v>
      </c>
      <c r="GV17" s="2">
        <v>0</v>
      </c>
      <c r="AVT17" s="1">
        <v>134468839</v>
      </c>
      <c r="AVU17" s="1" t="s">
        <v>2273</v>
      </c>
      <c r="AVW17" s="1">
        <v>200</v>
      </c>
    </row>
    <row r="18" spans="1:983 1268:1271" ht="14.5" x14ac:dyDescent="0.35">
      <c r="A18" s="1" t="s">
        <v>2274</v>
      </c>
      <c r="B18" s="1" t="s">
        <v>2275</v>
      </c>
      <c r="C18" s="1" t="s">
        <v>2276</v>
      </c>
      <c r="D18" s="1" t="s">
        <v>2258</v>
      </c>
      <c r="E18" s="1" t="s">
        <v>1808</v>
      </c>
      <c r="F18" s="1" t="s">
        <v>2258</v>
      </c>
      <c r="H18" s="2"/>
      <c r="I18" s="1" t="s">
        <v>1659</v>
      </c>
      <c r="J18" s="1" t="s">
        <v>2095</v>
      </c>
      <c r="K18" s="1" t="s">
        <v>2095</v>
      </c>
      <c r="M18"/>
      <c r="N18" s="1" t="s">
        <v>1153</v>
      </c>
      <c r="O18" s="2">
        <v>1</v>
      </c>
      <c r="P18" s="2">
        <v>0</v>
      </c>
      <c r="Q18" s="2">
        <v>0</v>
      </c>
      <c r="R18" s="2">
        <v>0</v>
      </c>
      <c r="S18" s="2">
        <v>0</v>
      </c>
      <c r="U18" s="1" t="s">
        <v>2277</v>
      </c>
      <c r="W18" s="1" t="s">
        <v>1155</v>
      </c>
      <c r="X18" s="1" t="s">
        <v>1156</v>
      </c>
      <c r="AN18" s="1" t="s">
        <v>1192</v>
      </c>
      <c r="AO18" s="2" t="s">
        <v>1162</v>
      </c>
      <c r="AP18" s="1" t="s">
        <v>2145</v>
      </c>
      <c r="AR18" s="1" t="s">
        <v>2278</v>
      </c>
      <c r="AS18" s="1" t="s">
        <v>1164</v>
      </c>
      <c r="AT18" s="1" t="s">
        <v>1155</v>
      </c>
      <c r="BO18" s="1" t="s">
        <v>2211</v>
      </c>
      <c r="BP18" s="2">
        <v>0</v>
      </c>
      <c r="BQ18" s="2">
        <v>0</v>
      </c>
      <c r="BR18" s="2">
        <v>1</v>
      </c>
      <c r="BS18" s="2">
        <v>0</v>
      </c>
      <c r="BT18" s="2">
        <v>0</v>
      </c>
      <c r="BU18" s="2">
        <v>0</v>
      </c>
      <c r="BV18" s="2">
        <v>0</v>
      </c>
      <c r="BW18" s="2">
        <v>0</v>
      </c>
      <c r="BX18" s="2">
        <v>0</v>
      </c>
      <c r="BY18" s="2">
        <v>1</v>
      </c>
      <c r="BZ18" s="2">
        <v>0</v>
      </c>
      <c r="CA18" s="2">
        <v>0</v>
      </c>
      <c r="CC18" s="1" t="s">
        <v>1155</v>
      </c>
      <c r="DQ18" s="1" t="s">
        <v>1164</v>
      </c>
      <c r="DR18" s="2">
        <v>0</v>
      </c>
      <c r="DS18" s="2">
        <v>0</v>
      </c>
      <c r="DT18" s="2">
        <v>0</v>
      </c>
      <c r="DU18" s="2">
        <v>0</v>
      </c>
      <c r="DV18" s="2">
        <v>1</v>
      </c>
      <c r="DX18" s="1" t="s">
        <v>2175</v>
      </c>
      <c r="DY18" s="2">
        <v>1</v>
      </c>
      <c r="DZ18" s="2">
        <v>0</v>
      </c>
      <c r="EA18" s="2">
        <v>0</v>
      </c>
      <c r="EB18" s="2">
        <v>0</v>
      </c>
      <c r="EC18" s="2">
        <v>0</v>
      </c>
      <c r="ED18" s="2">
        <v>0</v>
      </c>
      <c r="EE18" s="2">
        <v>0</v>
      </c>
      <c r="EF18" s="2">
        <v>1</v>
      </c>
      <c r="EG18" s="2">
        <v>1</v>
      </c>
      <c r="EH18" s="2">
        <v>0</v>
      </c>
      <c r="EI18" s="2">
        <v>0</v>
      </c>
      <c r="EJ18" s="2">
        <v>0</v>
      </c>
      <c r="EK18" s="2">
        <v>1</v>
      </c>
      <c r="EM18" s="1" t="s">
        <v>2279</v>
      </c>
      <c r="EN18" s="2">
        <v>0</v>
      </c>
      <c r="EO18" s="2">
        <v>0</v>
      </c>
      <c r="EP18" s="2">
        <v>0</v>
      </c>
      <c r="EQ18" s="2">
        <v>0</v>
      </c>
      <c r="ER18" s="2">
        <v>0</v>
      </c>
      <c r="ES18" s="2">
        <v>1</v>
      </c>
      <c r="ET18" s="2">
        <v>1</v>
      </c>
      <c r="EU18" s="2">
        <v>0</v>
      </c>
      <c r="EV18" s="2">
        <v>0</v>
      </c>
      <c r="EW18" s="2">
        <v>0</v>
      </c>
      <c r="EX18" s="2">
        <v>0</v>
      </c>
      <c r="EY18" s="2">
        <v>0</v>
      </c>
      <c r="EZ18" s="2">
        <v>0</v>
      </c>
      <c r="FB18" s="1" t="s">
        <v>1155</v>
      </c>
      <c r="GI18" s="1" t="s">
        <v>2280</v>
      </c>
      <c r="GJ18" s="2">
        <v>0</v>
      </c>
      <c r="GK18" s="2">
        <v>1</v>
      </c>
      <c r="GL18" s="2">
        <v>1</v>
      </c>
      <c r="GM18" s="2">
        <v>0</v>
      </c>
      <c r="GN18" s="2">
        <v>0</v>
      </c>
      <c r="GO18" s="2">
        <v>0</v>
      </c>
      <c r="GP18" s="2">
        <v>1</v>
      </c>
      <c r="GQ18" s="2">
        <v>0</v>
      </c>
      <c r="GR18" s="2">
        <v>0</v>
      </c>
      <c r="GS18" s="2">
        <v>0</v>
      </c>
      <c r="GT18" s="2">
        <v>0</v>
      </c>
      <c r="GU18" s="2">
        <v>0</v>
      </c>
      <c r="GV18" s="2">
        <v>0</v>
      </c>
      <c r="AVT18" s="1">
        <v>134468849</v>
      </c>
      <c r="AVU18" s="1" t="s">
        <v>2281</v>
      </c>
      <c r="AVW18" s="1">
        <v>201</v>
      </c>
    </row>
    <row r="19" spans="1:983 1268:1271" ht="14.5" x14ac:dyDescent="0.35">
      <c r="A19" s="1" t="s">
        <v>2282</v>
      </c>
      <c r="B19" s="1" t="s">
        <v>2283</v>
      </c>
      <c r="C19" s="1" t="s">
        <v>2284</v>
      </c>
      <c r="D19" s="1" t="s">
        <v>2285</v>
      </c>
      <c r="E19" s="1" t="s">
        <v>1690</v>
      </c>
      <c r="F19" s="1" t="s">
        <v>2285</v>
      </c>
      <c r="H19" s="2"/>
      <c r="I19" s="1" t="s">
        <v>1659</v>
      </c>
      <c r="J19" s="1" t="s">
        <v>2095</v>
      </c>
      <c r="K19" s="1" t="s">
        <v>2095</v>
      </c>
      <c r="M19"/>
      <c r="N19" s="1" t="s">
        <v>1153</v>
      </c>
      <c r="O19" s="2">
        <v>1</v>
      </c>
      <c r="P19" s="2">
        <v>0</v>
      </c>
      <c r="Q19" s="2">
        <v>0</v>
      </c>
      <c r="R19" s="2">
        <v>0</v>
      </c>
      <c r="S19" s="2">
        <v>0</v>
      </c>
      <c r="U19" s="1" t="s">
        <v>2167</v>
      </c>
      <c r="W19" s="1" t="s">
        <v>1155</v>
      </c>
      <c r="X19" s="1" t="s">
        <v>1156</v>
      </c>
      <c r="AN19" s="1" t="s">
        <v>1192</v>
      </c>
      <c r="AO19" s="2" t="s">
        <v>1162</v>
      </c>
      <c r="AP19" s="1" t="s">
        <v>2145</v>
      </c>
      <c r="AR19" s="1" t="s">
        <v>1710</v>
      </c>
      <c r="AS19" s="1" t="s">
        <v>1833</v>
      </c>
      <c r="AT19" s="1" t="s">
        <v>1156</v>
      </c>
      <c r="AU19" s="1" t="s">
        <v>1157</v>
      </c>
      <c r="AV19" s="1" t="s">
        <v>2182</v>
      </c>
      <c r="AW19" s="2">
        <v>0</v>
      </c>
      <c r="AX19" s="2">
        <v>0</v>
      </c>
      <c r="AY19" s="2">
        <v>1</v>
      </c>
      <c r="AZ19" s="2">
        <v>1</v>
      </c>
      <c r="BA19" s="2">
        <v>0</v>
      </c>
      <c r="BB19" s="2">
        <v>0</v>
      </c>
      <c r="BC19" s="2">
        <v>0</v>
      </c>
      <c r="BD19" s="2">
        <v>0</v>
      </c>
      <c r="BO19" s="1" t="s">
        <v>1802</v>
      </c>
      <c r="BP19" s="2">
        <v>0</v>
      </c>
      <c r="BQ19" s="2">
        <v>0</v>
      </c>
      <c r="BR19" s="2">
        <v>0</v>
      </c>
      <c r="BS19" s="2">
        <v>0</v>
      </c>
      <c r="BT19" s="2">
        <v>0</v>
      </c>
      <c r="BU19" s="2">
        <v>0</v>
      </c>
      <c r="BV19" s="2">
        <v>0</v>
      </c>
      <c r="BW19" s="2">
        <v>0</v>
      </c>
      <c r="BX19" s="2">
        <v>0</v>
      </c>
      <c r="BY19" s="2">
        <v>0</v>
      </c>
      <c r="BZ19" s="2">
        <v>1</v>
      </c>
      <c r="CA19" s="2">
        <v>0</v>
      </c>
      <c r="CC19" s="1" t="s">
        <v>1155</v>
      </c>
      <c r="DQ19" s="1" t="s">
        <v>1164</v>
      </c>
      <c r="DR19" s="2">
        <v>0</v>
      </c>
      <c r="DS19" s="2">
        <v>0</v>
      </c>
      <c r="DT19" s="2">
        <v>0</v>
      </c>
      <c r="DU19" s="2">
        <v>0</v>
      </c>
      <c r="DV19" s="2">
        <v>1</v>
      </c>
      <c r="DX19" s="1" t="s">
        <v>2270</v>
      </c>
      <c r="DY19" s="2">
        <v>1</v>
      </c>
      <c r="DZ19" s="2">
        <v>1</v>
      </c>
      <c r="EA19" s="2">
        <v>0</v>
      </c>
      <c r="EB19" s="2">
        <v>0</v>
      </c>
      <c r="EC19" s="2">
        <v>0</v>
      </c>
      <c r="ED19" s="2">
        <v>0</v>
      </c>
      <c r="EE19" s="2">
        <v>0</v>
      </c>
      <c r="EF19" s="2">
        <v>1</v>
      </c>
      <c r="EG19" s="2">
        <v>1</v>
      </c>
      <c r="EH19" s="2">
        <v>0</v>
      </c>
      <c r="EI19" s="2">
        <v>0</v>
      </c>
      <c r="EJ19" s="2">
        <v>0</v>
      </c>
      <c r="EK19" s="2">
        <v>0</v>
      </c>
      <c r="EM19" s="1" t="s">
        <v>1164</v>
      </c>
      <c r="EN19" s="2">
        <v>0</v>
      </c>
      <c r="EO19" s="2">
        <v>0</v>
      </c>
      <c r="EP19" s="2">
        <v>0</v>
      </c>
      <c r="EQ19" s="2">
        <v>0</v>
      </c>
      <c r="ER19" s="2">
        <v>0</v>
      </c>
      <c r="ES19" s="2">
        <v>0</v>
      </c>
      <c r="ET19" s="2">
        <v>0</v>
      </c>
      <c r="EU19" s="2">
        <v>0</v>
      </c>
      <c r="EV19" s="2">
        <v>0</v>
      </c>
      <c r="EW19" s="2">
        <v>1</v>
      </c>
      <c r="EX19" s="2">
        <v>0</v>
      </c>
      <c r="EY19" s="2">
        <v>0</v>
      </c>
      <c r="EZ19" s="2">
        <v>0</v>
      </c>
      <c r="FB19" s="1" t="s">
        <v>1155</v>
      </c>
      <c r="GI19" s="1" t="s">
        <v>2286</v>
      </c>
      <c r="GJ19" s="2">
        <v>1</v>
      </c>
      <c r="GK19" s="2">
        <v>1</v>
      </c>
      <c r="GL19" s="2">
        <v>0</v>
      </c>
      <c r="GM19" s="2">
        <v>1</v>
      </c>
      <c r="GN19" s="2">
        <v>0</v>
      </c>
      <c r="GO19" s="2">
        <v>1</v>
      </c>
      <c r="GP19" s="2">
        <v>1</v>
      </c>
      <c r="GQ19" s="2">
        <v>0</v>
      </c>
      <c r="GR19" s="2">
        <v>1</v>
      </c>
      <c r="GS19" s="2">
        <v>0</v>
      </c>
      <c r="GT19" s="2">
        <v>1</v>
      </c>
      <c r="GU19" s="2">
        <v>0</v>
      </c>
      <c r="GV19" s="2">
        <v>0</v>
      </c>
      <c r="AVT19" s="1">
        <v>134468924</v>
      </c>
      <c r="AVU19" s="1" t="s">
        <v>2287</v>
      </c>
      <c r="AVW19" s="1">
        <v>202</v>
      </c>
    </row>
    <row r="20" spans="1:983 1268:1271" ht="14.5" x14ac:dyDescent="0.35">
      <c r="A20" s="1" t="s">
        <v>2288</v>
      </c>
      <c r="B20" s="1" t="s">
        <v>2289</v>
      </c>
      <c r="C20" s="1" t="s">
        <v>2290</v>
      </c>
      <c r="D20" s="1" t="s">
        <v>2285</v>
      </c>
      <c r="E20" s="1" t="s">
        <v>1690</v>
      </c>
      <c r="F20" s="1" t="s">
        <v>2285</v>
      </c>
      <c r="H20" s="2"/>
      <c r="I20" s="1" t="s">
        <v>1659</v>
      </c>
      <c r="J20" s="1" t="s">
        <v>2095</v>
      </c>
      <c r="K20" s="1" t="s">
        <v>2095</v>
      </c>
      <c r="M20"/>
      <c r="N20" s="1" t="s">
        <v>1153</v>
      </c>
      <c r="O20" s="2">
        <v>1</v>
      </c>
      <c r="P20" s="2">
        <v>0</v>
      </c>
      <c r="Q20" s="2">
        <v>0</v>
      </c>
      <c r="R20" s="2">
        <v>0</v>
      </c>
      <c r="S20" s="2">
        <v>0</v>
      </c>
      <c r="U20" s="1" t="s">
        <v>2167</v>
      </c>
      <c r="W20" s="1" t="s">
        <v>1155</v>
      </c>
      <c r="X20" s="1" t="s">
        <v>1708</v>
      </c>
      <c r="Y20" s="1" t="s">
        <v>2291</v>
      </c>
      <c r="AA20" s="1" t="s">
        <v>2292</v>
      </c>
      <c r="AN20" s="1" t="s">
        <v>1192</v>
      </c>
      <c r="AO20" s="2" t="s">
        <v>1162</v>
      </c>
      <c r="AP20" s="1" t="s">
        <v>1398</v>
      </c>
      <c r="AR20" s="1" t="s">
        <v>2293</v>
      </c>
      <c r="AS20" s="1" t="s">
        <v>1833</v>
      </c>
      <c r="AT20" s="1" t="s">
        <v>1155</v>
      </c>
      <c r="BO20" s="1" t="s">
        <v>1177</v>
      </c>
      <c r="BP20" s="2">
        <v>0</v>
      </c>
      <c r="BQ20" s="2">
        <v>0</v>
      </c>
      <c r="BR20" s="2">
        <v>0</v>
      </c>
      <c r="BS20" s="2">
        <v>0</v>
      </c>
      <c r="BT20" s="2">
        <v>0</v>
      </c>
      <c r="BU20" s="2">
        <v>0</v>
      </c>
      <c r="BV20" s="2">
        <v>0</v>
      </c>
      <c r="BW20" s="2">
        <v>0</v>
      </c>
      <c r="BX20" s="2">
        <v>0</v>
      </c>
      <c r="BY20" s="2">
        <v>0</v>
      </c>
      <c r="BZ20" s="2">
        <v>0</v>
      </c>
      <c r="CA20" s="2">
        <v>1</v>
      </c>
      <c r="CC20" s="1" t="s">
        <v>1155</v>
      </c>
      <c r="DQ20" s="1" t="s">
        <v>1164</v>
      </c>
      <c r="DR20" s="2">
        <v>0</v>
      </c>
      <c r="DS20" s="2">
        <v>0</v>
      </c>
      <c r="DT20" s="2">
        <v>0</v>
      </c>
      <c r="DU20" s="2">
        <v>0</v>
      </c>
      <c r="DV20" s="2">
        <v>1</v>
      </c>
      <c r="DX20" s="1" t="s">
        <v>2263</v>
      </c>
      <c r="DY20" s="2">
        <v>1</v>
      </c>
      <c r="DZ20" s="2">
        <v>1</v>
      </c>
      <c r="EA20" s="2">
        <v>0</v>
      </c>
      <c r="EB20" s="2">
        <v>0</v>
      </c>
      <c r="EC20" s="2">
        <v>0</v>
      </c>
      <c r="ED20" s="2">
        <v>0</v>
      </c>
      <c r="EE20" s="2">
        <v>0</v>
      </c>
      <c r="EF20" s="2">
        <v>1</v>
      </c>
      <c r="EG20" s="2">
        <v>1</v>
      </c>
      <c r="EH20" s="2">
        <v>0</v>
      </c>
      <c r="EI20" s="2">
        <v>0</v>
      </c>
      <c r="EJ20" s="2">
        <v>0</v>
      </c>
      <c r="EK20" s="2">
        <v>1</v>
      </c>
      <c r="EM20" s="1" t="s">
        <v>2294</v>
      </c>
      <c r="EN20" s="2">
        <v>0</v>
      </c>
      <c r="EO20" s="2">
        <v>0</v>
      </c>
      <c r="EP20" s="2">
        <v>0</v>
      </c>
      <c r="EQ20" s="2">
        <v>0</v>
      </c>
      <c r="ER20" s="2">
        <v>0</v>
      </c>
      <c r="ES20" s="2">
        <v>1</v>
      </c>
      <c r="ET20" s="2">
        <v>1</v>
      </c>
      <c r="EU20" s="2">
        <v>1</v>
      </c>
      <c r="EV20" s="2">
        <v>1</v>
      </c>
      <c r="EW20" s="2">
        <v>0</v>
      </c>
      <c r="EX20" s="2">
        <v>0</v>
      </c>
      <c r="EY20" s="2">
        <v>0</v>
      </c>
      <c r="EZ20" s="2">
        <v>0</v>
      </c>
      <c r="FB20" s="1" t="s">
        <v>1155</v>
      </c>
      <c r="GI20" s="1" t="s">
        <v>2295</v>
      </c>
      <c r="GJ20" s="2">
        <v>1</v>
      </c>
      <c r="GK20" s="2">
        <v>0</v>
      </c>
      <c r="GL20" s="2">
        <v>0</v>
      </c>
      <c r="GM20" s="2">
        <v>1</v>
      </c>
      <c r="GN20" s="2">
        <v>0</v>
      </c>
      <c r="GO20" s="2">
        <v>1</v>
      </c>
      <c r="GP20" s="2">
        <v>1</v>
      </c>
      <c r="GQ20" s="2">
        <v>0</v>
      </c>
      <c r="GR20" s="2">
        <v>0</v>
      </c>
      <c r="GS20" s="2">
        <v>0</v>
      </c>
      <c r="GT20" s="2">
        <v>1</v>
      </c>
      <c r="GU20" s="2">
        <v>0</v>
      </c>
      <c r="GV20" s="2">
        <v>0</v>
      </c>
      <c r="AVT20" s="1">
        <v>134468945</v>
      </c>
      <c r="AVU20" s="1" t="s">
        <v>2296</v>
      </c>
      <c r="AVW20" s="1">
        <v>203</v>
      </c>
    </row>
    <row r="21" spans="1:983 1268:1271" ht="14.5" x14ac:dyDescent="0.35">
      <c r="A21" s="1" t="s">
        <v>2297</v>
      </c>
      <c r="B21" s="1" t="s">
        <v>2298</v>
      </c>
      <c r="C21" s="1" t="s">
        <v>2299</v>
      </c>
      <c r="D21" s="1" t="s">
        <v>2285</v>
      </c>
      <c r="E21" s="1" t="s">
        <v>1690</v>
      </c>
      <c r="F21" s="1" t="s">
        <v>2285</v>
      </c>
      <c r="H21" s="2"/>
      <c r="I21" s="1" t="s">
        <v>1659</v>
      </c>
      <c r="J21" s="1" t="s">
        <v>2095</v>
      </c>
      <c r="K21" s="1" t="s">
        <v>2095</v>
      </c>
      <c r="M21"/>
      <c r="N21" s="1" t="s">
        <v>1170</v>
      </c>
      <c r="O21" s="2">
        <v>0</v>
      </c>
      <c r="P21" s="2">
        <v>0</v>
      </c>
      <c r="Q21" s="2">
        <v>1</v>
      </c>
      <c r="R21" s="2">
        <v>0</v>
      </c>
      <c r="S21" s="2">
        <v>0</v>
      </c>
      <c r="ZS21" s="1" t="s">
        <v>2300</v>
      </c>
      <c r="ZT21" s="1" t="s">
        <v>1177</v>
      </c>
      <c r="ZV21" s="1" t="s">
        <v>1179</v>
      </c>
      <c r="ZX21" s="1" t="s">
        <v>1156</v>
      </c>
      <c r="ABD21" s="1" t="s">
        <v>2301</v>
      </c>
      <c r="ABE21" s="1" t="s">
        <v>1173</v>
      </c>
      <c r="ABF21" s="2">
        <v>1</v>
      </c>
      <c r="ABG21" s="2">
        <v>0</v>
      </c>
      <c r="ABH21" s="2">
        <v>0</v>
      </c>
      <c r="ABI21" s="2">
        <v>0</v>
      </c>
      <c r="ABJ21" s="2">
        <v>0</v>
      </c>
      <c r="ABL21" s="1" t="s">
        <v>1177</v>
      </c>
      <c r="ABM21" s="2">
        <v>0</v>
      </c>
      <c r="ABN21" s="2">
        <v>0</v>
      </c>
      <c r="ABO21" s="2">
        <v>0</v>
      </c>
      <c r="ABP21" s="2">
        <v>0</v>
      </c>
      <c r="ABQ21" s="2">
        <v>0</v>
      </c>
      <c r="ABR21" s="2">
        <v>0</v>
      </c>
      <c r="ABS21" s="2">
        <v>0</v>
      </c>
      <c r="ABT21" s="2">
        <v>0</v>
      </c>
      <c r="ABU21" s="2">
        <v>0</v>
      </c>
      <c r="ABV21" s="2">
        <v>0</v>
      </c>
      <c r="ABW21" s="2">
        <v>0</v>
      </c>
      <c r="ABX21" s="2">
        <v>1</v>
      </c>
      <c r="ABZ21" s="2">
        <v>6</v>
      </c>
      <c r="ACA21" s="1" t="s">
        <v>1155</v>
      </c>
      <c r="ACJ21" s="1" t="s">
        <v>1155</v>
      </c>
      <c r="ACM21" s="1" t="s">
        <v>1155</v>
      </c>
      <c r="ACN21" s="2">
        <v>327</v>
      </c>
      <c r="ACO21" s="2">
        <v>152</v>
      </c>
      <c r="ACP21" s="2">
        <v>175</v>
      </c>
      <c r="ACQ21" s="2">
        <v>175</v>
      </c>
      <c r="ACR21" s="2">
        <v>327</v>
      </c>
      <c r="ACT21" s="2">
        <v>6</v>
      </c>
      <c r="ACU21" s="2">
        <v>16</v>
      </c>
      <c r="ACV21" s="1" t="s">
        <v>1156</v>
      </c>
      <c r="ACW21" s="1" t="s">
        <v>1157</v>
      </c>
      <c r="ACX21" s="1" t="s">
        <v>2302</v>
      </c>
      <c r="ACY21" s="2">
        <v>1</v>
      </c>
      <c r="ACZ21" s="2">
        <v>1</v>
      </c>
      <c r="ADA21" s="2">
        <v>1</v>
      </c>
      <c r="ADB21" s="2">
        <v>0</v>
      </c>
      <c r="ADC21" s="2">
        <v>0</v>
      </c>
      <c r="ADD21" s="2">
        <v>0</v>
      </c>
      <c r="ADE21" s="2">
        <v>1</v>
      </c>
      <c r="ADQ21" s="2">
        <v>0</v>
      </c>
      <c r="ADR21" s="2">
        <v>0</v>
      </c>
      <c r="ADS21" s="2">
        <v>0</v>
      </c>
      <c r="ADT21" s="2">
        <v>0</v>
      </c>
      <c r="ADU21" s="2">
        <v>0</v>
      </c>
      <c r="ADW21" s="1" t="s">
        <v>1155</v>
      </c>
      <c r="AEO21" s="2">
        <v>0</v>
      </c>
      <c r="AEP21" s="2">
        <v>0</v>
      </c>
      <c r="AEQ21" s="2">
        <v>0</v>
      </c>
      <c r="AER21" s="2">
        <v>0</v>
      </c>
      <c r="AES21" s="2">
        <v>0</v>
      </c>
      <c r="AEU21" s="1" t="s">
        <v>1155</v>
      </c>
      <c r="AFL21" s="2">
        <v>5</v>
      </c>
      <c r="AFM21" s="2">
        <v>0</v>
      </c>
      <c r="AFN21" s="2">
        <v>5</v>
      </c>
      <c r="AFO21" s="2">
        <v>5</v>
      </c>
      <c r="AFP21" s="2">
        <v>5</v>
      </c>
      <c r="AFR21" s="1" t="s">
        <v>1155</v>
      </c>
      <c r="AGH21" s="1" t="s">
        <v>1174</v>
      </c>
      <c r="AGI21" s="1" t="s">
        <v>1174</v>
      </c>
      <c r="AGJ21" s="1" t="s">
        <v>1155</v>
      </c>
      <c r="AHQ21" s="1" t="s">
        <v>1164</v>
      </c>
      <c r="AHR21" s="2">
        <v>0</v>
      </c>
      <c r="AHS21" s="2">
        <v>0</v>
      </c>
      <c r="AHT21" s="2">
        <v>0</v>
      </c>
      <c r="AHU21" s="2">
        <v>0</v>
      </c>
      <c r="AHV21" s="2">
        <v>1</v>
      </c>
      <c r="AHW21" s="1" t="s">
        <v>2315</v>
      </c>
      <c r="AHX21" s="1" t="s">
        <v>2303</v>
      </c>
      <c r="AHY21" s="2">
        <v>1</v>
      </c>
      <c r="AHZ21" s="2">
        <v>1</v>
      </c>
      <c r="AIA21" s="2">
        <v>1</v>
      </c>
      <c r="AIB21" s="2">
        <v>0</v>
      </c>
      <c r="AIC21" s="2">
        <v>0</v>
      </c>
      <c r="AID21" s="2">
        <v>0</v>
      </c>
      <c r="AIE21" s="2">
        <v>0</v>
      </c>
      <c r="AIF21" s="2">
        <v>0</v>
      </c>
      <c r="AIG21" s="2">
        <v>0</v>
      </c>
      <c r="AIH21" s="2">
        <v>0</v>
      </c>
      <c r="AII21" s="2">
        <v>0</v>
      </c>
      <c r="AIK21" s="1" t="s">
        <v>2304</v>
      </c>
      <c r="AIL21" s="2">
        <v>0</v>
      </c>
      <c r="AIM21" s="2">
        <v>1</v>
      </c>
      <c r="AIN21" s="2">
        <v>0</v>
      </c>
      <c r="AIO21" s="2">
        <v>1</v>
      </c>
      <c r="AIP21" s="2">
        <v>0</v>
      </c>
      <c r="AIQ21" s="2">
        <v>0</v>
      </c>
      <c r="AIR21" s="2">
        <v>0</v>
      </c>
      <c r="AIS21" s="2">
        <v>0</v>
      </c>
      <c r="AIT21" s="2">
        <v>1</v>
      </c>
      <c r="AIU21" s="2">
        <v>0</v>
      </c>
      <c r="AIV21" s="2">
        <v>0</v>
      </c>
      <c r="AIW21" s="2">
        <v>0</v>
      </c>
      <c r="AIX21" s="2">
        <v>0</v>
      </c>
      <c r="AIZ21" s="1" t="s">
        <v>1156</v>
      </c>
      <c r="AJA21" s="1" t="s">
        <v>2305</v>
      </c>
      <c r="AJB21" s="2">
        <v>0</v>
      </c>
      <c r="AJC21" s="2">
        <v>0</v>
      </c>
      <c r="AJD21" s="2">
        <v>0</v>
      </c>
      <c r="AJE21" s="2">
        <v>1</v>
      </c>
      <c r="AJF21" s="2">
        <v>0</v>
      </c>
      <c r="AJG21" s="2">
        <v>0</v>
      </c>
      <c r="AJH21" s="2">
        <v>0</v>
      </c>
      <c r="AJJ21" s="1" t="s">
        <v>2306</v>
      </c>
      <c r="AJK21" s="2">
        <v>0</v>
      </c>
      <c r="AJL21" s="2">
        <v>0</v>
      </c>
      <c r="AJM21" s="2">
        <v>0</v>
      </c>
      <c r="AJN21" s="2">
        <v>0</v>
      </c>
      <c r="AJO21" s="2">
        <v>0</v>
      </c>
      <c r="AJP21" s="2">
        <v>0</v>
      </c>
      <c r="AJQ21" s="2">
        <v>0</v>
      </c>
      <c r="AJR21" s="2">
        <v>1</v>
      </c>
      <c r="AJS21" s="2">
        <v>0</v>
      </c>
      <c r="AJT21" s="2">
        <v>0</v>
      </c>
      <c r="AJU21" s="2">
        <v>0</v>
      </c>
      <c r="AJV21" s="2">
        <v>0</v>
      </c>
      <c r="AJX21" s="1" t="s">
        <v>1156</v>
      </c>
      <c r="AKF21" s="1" t="s">
        <v>2307</v>
      </c>
      <c r="AKG21" s="2">
        <v>1</v>
      </c>
      <c r="AKH21" s="2">
        <v>1</v>
      </c>
      <c r="AKI21" s="2">
        <v>1</v>
      </c>
      <c r="AKJ21" s="2">
        <v>0</v>
      </c>
      <c r="AKK21" s="2">
        <v>1</v>
      </c>
      <c r="AKL21" s="2">
        <v>0</v>
      </c>
      <c r="AKM21" s="2">
        <v>1</v>
      </c>
      <c r="AKN21" s="2">
        <v>1</v>
      </c>
      <c r="AKO21" s="2">
        <v>0</v>
      </c>
      <c r="AKP21" s="2">
        <v>0</v>
      </c>
      <c r="AKQ21" s="2">
        <v>0</v>
      </c>
      <c r="AKR21" s="2">
        <v>0</v>
      </c>
      <c r="AVT21" s="1">
        <v>134468985</v>
      </c>
      <c r="AVU21" s="1" t="s">
        <v>2308</v>
      </c>
      <c r="AVW21" s="1">
        <v>204</v>
      </c>
    </row>
    <row r="22" spans="1:983 1268:1271" ht="14.5" x14ac:dyDescent="0.35">
      <c r="OL22"/>
      <c r="ZT22"/>
      <c r="AKU22"/>
    </row>
    <row r="23" spans="1:983 1268:1271" ht="14.5" x14ac:dyDescent="0.35">
      <c r="OL23"/>
      <c r="ZT23"/>
      <c r="AKU23"/>
    </row>
    <row r="24" spans="1:983 1268:1271" ht="14.5" x14ac:dyDescent="0.35">
      <c r="OL24"/>
      <c r="ZT24"/>
      <c r="AKU24"/>
    </row>
    <row r="25" spans="1:983 1268:1271" ht="14.5" x14ac:dyDescent="0.35">
      <c r="ZT25"/>
      <c r="AKU25"/>
    </row>
    <row r="26" spans="1:983 1268:1271" ht="14.5" x14ac:dyDescent="0.35">
      <c r="ZT26"/>
    </row>
  </sheetData>
  <autoFilter ref="A1:AVW21"/>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S223"/>
  <sheetViews>
    <sheetView zoomScale="90" zoomScaleNormal="90" workbookViewId="0">
      <selection activeCell="F14" sqref="F14"/>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COUNTIFS('SATEMA_Cleaned Data'!N:N,"eau",'SATEMA_Cleaned Data'!K:K,"SATEMA")</f>
        <v>9</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COUNTIF('SATEMA_Cleaned Data'!U:U,"pompe_pied")</f>
        <v>1</v>
      </c>
      <c r="C7" s="24">
        <f>COUNTIF('SATEMA_Cleaned Data'!U:U,"pompe_main")</f>
        <v>0</v>
      </c>
      <c r="D7" s="24">
        <f>COUNTIF('SATEMA_Cleaned Data'!U:U,"source_amenagee")</f>
        <v>0</v>
      </c>
      <c r="E7" s="24">
        <f>COUNTIF('SATEMA_Cleaned Data'!U:U,"source_non_amenagee")</f>
        <v>1</v>
      </c>
      <c r="F7" s="24">
        <f>COUNTIF('SATEMA_Cleaned Data'!U:U,"puits_protege")</f>
        <v>1</v>
      </c>
      <c r="G7" s="24">
        <f>COUNTIF('SATEMA_Cleaned Data'!U:U,"puits_non_protege")</f>
        <v>6</v>
      </c>
      <c r="H7" s="24">
        <f>COUNTIF('SATEMA_Cleaned Data'!U:U,"camion")</f>
        <v>0</v>
      </c>
      <c r="I7" s="109">
        <f>SUM(B7:H7)</f>
        <v>9</v>
      </c>
      <c r="J7" s="10"/>
      <c r="K7" s="10"/>
      <c r="L7" s="10"/>
      <c r="M7" s="10"/>
      <c r="N7" s="10"/>
      <c r="O7" s="10"/>
      <c r="P7" s="10"/>
      <c r="Q7" s="10"/>
      <c r="R7" s="10"/>
      <c r="Z7" s="1"/>
    </row>
    <row r="8" spans="1:26" s="106" customFormat="1" ht="26" x14ac:dyDescent="0.3">
      <c r="A8" s="101" t="s">
        <v>3246</v>
      </c>
      <c r="B8" s="104">
        <f>(B7/$B$3)</f>
        <v>0.1111111111111111</v>
      </c>
      <c r="C8" s="104">
        <f t="shared" ref="C8:H8" si="0">(C7/$B$3)</f>
        <v>0</v>
      </c>
      <c r="D8" s="104">
        <f t="shared" si="0"/>
        <v>0</v>
      </c>
      <c r="E8" s="104">
        <f t="shared" si="0"/>
        <v>0.1111111111111111</v>
      </c>
      <c r="F8" s="104">
        <f t="shared" si="0"/>
        <v>0.1111111111111111</v>
      </c>
      <c r="G8" s="104">
        <f t="shared" si="0"/>
        <v>0.66666666666666663</v>
      </c>
      <c r="H8" s="104">
        <f t="shared" si="0"/>
        <v>0</v>
      </c>
      <c r="I8" s="102">
        <f>SUM(B8:H8)</f>
        <v>1</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COUNTIF('SATEMA_Cleaned Data'!X:X,"oui")</f>
        <v>8</v>
      </c>
      <c r="C13" s="24">
        <f>COUNTIF('SATEMA_Cleaned Data'!X:X,"non")</f>
        <v>0</v>
      </c>
      <c r="D13" s="24">
        <f>COUNTIF('SATEMA_Cleaned Data'!X:X,"endommage")</f>
        <v>1</v>
      </c>
      <c r="E13" s="52">
        <f>SUM(B13,D13)</f>
        <v>9</v>
      </c>
      <c r="F13" s="10"/>
      <c r="G13" s="10"/>
      <c r="H13" s="10"/>
      <c r="I13" s="10"/>
      <c r="J13" s="10"/>
      <c r="K13" s="10"/>
      <c r="L13" s="10"/>
      <c r="M13" s="10"/>
      <c r="N13" s="10"/>
      <c r="O13" s="10"/>
      <c r="P13" s="10"/>
      <c r="Q13" s="10"/>
      <c r="R13" s="10"/>
    </row>
    <row r="14" spans="1:26" s="106" customFormat="1" ht="26" x14ac:dyDescent="0.3">
      <c r="A14" s="101" t="s">
        <v>3246</v>
      </c>
      <c r="B14" s="104">
        <f>(B13/$B$3)</f>
        <v>0.88888888888888884</v>
      </c>
      <c r="C14" s="104">
        <f t="shared" ref="C14:D14" si="1">(C13/$B$3)</f>
        <v>0</v>
      </c>
      <c r="D14" s="104">
        <f t="shared" si="1"/>
        <v>0.1111111111111111</v>
      </c>
      <c r="E14" s="102">
        <f>E13/$B$3</f>
        <v>1</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COUNTIF('SATEMA_Cleaned Data'!Y:Y,"non_maintenance")</f>
        <v>1</v>
      </c>
      <c r="E18" s="24">
        <f>COUNTIF('SATEMA_Cleaned Data'!Y:Y,"non_rehab")</f>
        <v>0</v>
      </c>
      <c r="F18" s="24">
        <f>COUNTIF('SATEMA_Cleaned Data'!Y:Y,"non_destruction")</f>
        <v>0</v>
      </c>
      <c r="G18" s="111">
        <f>SUM(D18:F18)</f>
        <v>1</v>
      </c>
      <c r="H18" s="10"/>
      <c r="I18" s="10"/>
      <c r="J18" s="10"/>
      <c r="K18" s="10"/>
      <c r="L18" s="10"/>
      <c r="M18" s="10"/>
      <c r="N18" s="10"/>
      <c r="O18" s="10"/>
      <c r="P18" s="10"/>
      <c r="Q18" s="10"/>
      <c r="R18" s="10"/>
    </row>
    <row r="19" spans="1:26" s="106" customFormat="1" ht="37.5" x14ac:dyDescent="0.3">
      <c r="A19" s="105"/>
      <c r="B19" s="105"/>
      <c r="C19" s="101" t="s">
        <v>3247</v>
      </c>
      <c r="D19" s="104">
        <f>D18/$D$13</f>
        <v>1</v>
      </c>
      <c r="E19" s="104">
        <f>E18/$D$13</f>
        <v>0</v>
      </c>
      <c r="F19" s="104">
        <f>F18/$D$13</f>
        <v>0</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COUNTIF('SATEMA_Cleaned Data'!AA:AA,"moins_six_mois")</f>
        <v>1</v>
      </c>
      <c r="E23" s="24">
        <f>COUNTIF('SATEMA_Cleaned Data'!AA:AA,"six_mois_un_an")</f>
        <v>0</v>
      </c>
      <c r="F23" s="24">
        <f>COUNTIF('SATEMA_Cleaned Data'!AA:AA,"un_an_trois_ans")</f>
        <v>0</v>
      </c>
      <c r="G23" s="24">
        <f>COUNTIF('SATEMA_Cleaned Data'!AA:AA,"plus_trois_ans")</f>
        <v>0</v>
      </c>
      <c r="H23" s="24">
        <f>COUNTIF('SATEMA_Cleaned Data'!AA:AA,"nsp")</f>
        <v>0</v>
      </c>
      <c r="I23" s="111">
        <f>SUM(D23:H23)</f>
        <v>1</v>
      </c>
      <c r="J23" s="10"/>
      <c r="K23" s="10"/>
      <c r="L23" s="10"/>
      <c r="M23" s="10"/>
      <c r="N23" s="10"/>
      <c r="O23" s="10"/>
      <c r="P23" s="10"/>
      <c r="Q23" s="10"/>
      <c r="R23" s="10"/>
    </row>
    <row r="24" spans="1:26" s="106" customFormat="1" ht="36.5" customHeight="1" x14ac:dyDescent="0.3">
      <c r="A24" s="105"/>
      <c r="B24" s="105"/>
      <c r="C24" s="101" t="s">
        <v>3247</v>
      </c>
      <c r="D24" s="104">
        <f>D23/$D$13</f>
        <v>1</v>
      </c>
      <c r="E24" s="104">
        <f>E23/$D$13</f>
        <v>0</v>
      </c>
      <c r="F24" s="104">
        <f>F23/$D$13</f>
        <v>0</v>
      </c>
      <c r="G24" s="104">
        <f t="shared" ref="G24:H24" si="2">G23/$D$13</f>
        <v>0</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COUNTIF('SATEMA_Cleaned Data'!AC:AC,"1")</f>
        <v>0</v>
      </c>
      <c r="E28" s="24">
        <f>COUNTIF('SATEMA_Cleaned Data'!AD:AD,"1")</f>
        <v>0</v>
      </c>
      <c r="F28" s="24">
        <f>COUNTIF('SATEMA_Cleaned Data'!AF:AF,"1")</f>
        <v>0</v>
      </c>
      <c r="G28" s="24">
        <f>COUNTIF('SATEMA_Cleaned Data'!AH:AH,"1")</f>
        <v>0</v>
      </c>
      <c r="H28" s="24">
        <f>COUNTIF('SATEMA_Cleaned Data'!AI:AI,"1")</f>
        <v>0</v>
      </c>
      <c r="I28" s="24">
        <f>COUNTIF('SATEMA_Cleaned Data'!AK:AK,"1")</f>
        <v>0</v>
      </c>
      <c r="J28" s="74" t="s">
        <v>2955</v>
      </c>
      <c r="K28" s="10"/>
      <c r="L28" s="10"/>
      <c r="M28" s="10"/>
      <c r="N28" s="10"/>
      <c r="O28" s="10"/>
      <c r="P28" s="10"/>
      <c r="Q28" s="10"/>
      <c r="R28" s="10"/>
      <c r="X28" s="1"/>
      <c r="Y28" s="1"/>
      <c r="Z28" s="1"/>
    </row>
    <row r="29" spans="1:26" s="105" customFormat="1" ht="37.5" x14ac:dyDescent="0.3">
      <c r="A29" s="107"/>
      <c r="B29" s="108"/>
      <c r="C29" s="101" t="s">
        <v>3248</v>
      </c>
      <c r="D29" s="104" t="e">
        <f>D28/$C$13</f>
        <v>#DIV/0!</v>
      </c>
      <c r="E29" s="104" t="e">
        <f t="shared" ref="E29:I29" si="3">E28/$C$13</f>
        <v>#DIV/0!</v>
      </c>
      <c r="F29" s="104" t="e">
        <f t="shared" si="3"/>
        <v>#DIV/0!</v>
      </c>
      <c r="G29" s="104" t="e">
        <f t="shared" si="3"/>
        <v>#DIV/0!</v>
      </c>
      <c r="H29" s="104" t="e">
        <f t="shared" si="3"/>
        <v>#DIV/0!</v>
      </c>
      <c r="I29" s="104" t="e">
        <f t="shared" si="3"/>
        <v>#DIV/0!</v>
      </c>
      <c r="J29" s="10"/>
    </row>
    <row r="30" spans="1:26" s="10" customFormat="1" x14ac:dyDescent="0.3">
      <c r="A30" s="14"/>
      <c r="B30" s="15"/>
      <c r="C30" s="97"/>
      <c r="D30" s="15"/>
      <c r="E30" s="15"/>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COUNTIF('SATEMA_Cleaned Data'!AM:AM,"moins_six_mois")</f>
        <v>0</v>
      </c>
      <c r="E33" s="24">
        <f>COUNTIF('SATEMA_Cleaned Data'!AM:AM,"six_mois_un_an")</f>
        <v>0</v>
      </c>
      <c r="F33" s="24">
        <f>COUNTIF('SATEMA_Cleaned Data'!AM:AM,"un_an_trois_ans")</f>
        <v>0</v>
      </c>
      <c r="G33" s="24">
        <f>COUNTIF('SATEMA_Cleaned Data'!AM:AM,"plus_trois_ans")</f>
        <v>0</v>
      </c>
      <c r="H33" s="24">
        <f>COUNTIF('SATEMA_Cleaned Data'!AM:AM,"nsp")</f>
        <v>0</v>
      </c>
      <c r="I33" s="111">
        <f>SUM(D33:H33)</f>
        <v>0</v>
      </c>
      <c r="J33" s="10"/>
      <c r="K33" s="10"/>
      <c r="L33" s="10"/>
      <c r="M33" s="10"/>
      <c r="N33" s="10"/>
      <c r="O33" s="10"/>
      <c r="P33" s="10"/>
      <c r="Q33" s="10"/>
      <c r="R33" s="10"/>
    </row>
    <row r="34" spans="1:26" s="106" customFormat="1" ht="41.5" customHeight="1" x14ac:dyDescent="0.3">
      <c r="A34" s="105"/>
      <c r="B34" s="105"/>
      <c r="C34" s="101" t="s">
        <v>3248</v>
      </c>
      <c r="D34" s="104" t="e">
        <f>D33/$C$13</f>
        <v>#DIV/0!</v>
      </c>
      <c r="E34" s="104" t="e">
        <f t="shared" ref="E34:H34" si="4">E33/$C$13</f>
        <v>#DIV/0!</v>
      </c>
      <c r="F34" s="104" t="e">
        <f t="shared" si="4"/>
        <v>#DIV/0!</v>
      </c>
      <c r="G34" s="104" t="e">
        <f t="shared" si="4"/>
        <v>#DIV/0!</v>
      </c>
      <c r="H34" s="104" t="e">
        <f t="shared" si="4"/>
        <v>#DIV/0!</v>
      </c>
      <c r="I34" s="100" t="e">
        <f>SUM(D34:H34)</f>
        <v>#DIV/0!</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COUNTIF('SATEMA_Cleaned Data'!BP:BP,"1")</f>
        <v>0</v>
      </c>
      <c r="C38" s="24">
        <f>COUNTIF('SATEMA_Cleaned Data'!BQ:BQ,"1")</f>
        <v>0</v>
      </c>
      <c r="D38" s="24">
        <f>COUNTIF('SATEMA_Cleaned Data'!BR:BR,"1")</f>
        <v>1</v>
      </c>
      <c r="E38" s="24">
        <f>COUNTIF('SATEMA_Cleaned Data'!BY:BY,"1")</f>
        <v>3</v>
      </c>
      <c r="F38" s="24">
        <f>COUNTIF('SATEMA_Cleaned Data'!BZ:BZ,"1")</f>
        <v>4</v>
      </c>
      <c r="G38" s="24">
        <f>COUNTIF('SATEMA_Cleaned Data'!BS:BS,"1")</f>
        <v>0</v>
      </c>
      <c r="H38" s="24">
        <f>COUNTIF('SATEMA_Cleaned Data'!BT:BT,"1")</f>
        <v>0</v>
      </c>
      <c r="I38" s="24">
        <f>COUNTIF('SATEMA_Cleaned Data'!BU:BU,"1")</f>
        <v>4</v>
      </c>
      <c r="J38" s="24">
        <f>COUNTIF('SATEMA_Cleaned Data'!CA:CA,"1")</f>
        <v>1</v>
      </c>
      <c r="K38" s="24">
        <f>COUNTIF('SATEMA_Cleaned Data'!BW:BW,"1")</f>
        <v>0</v>
      </c>
      <c r="L38" s="24">
        <f>COUNTIF('SATEMA_Cleaned Data'!BX:BX,"1")</f>
        <v>0</v>
      </c>
      <c r="M38" s="10"/>
      <c r="N38" s="10"/>
      <c r="O38" s="10"/>
      <c r="P38" s="10"/>
      <c r="Q38" s="10"/>
      <c r="R38" s="10"/>
    </row>
    <row r="39" spans="1:26" s="106" customFormat="1" ht="26" x14ac:dyDescent="0.3">
      <c r="A39" s="101" t="s">
        <v>3246</v>
      </c>
      <c r="B39" s="104">
        <f>B38/$B$3</f>
        <v>0</v>
      </c>
      <c r="C39" s="104">
        <f t="shared" ref="C39:L39" si="5">C38/$B$3</f>
        <v>0</v>
      </c>
      <c r="D39" s="104">
        <f t="shared" si="5"/>
        <v>0.1111111111111111</v>
      </c>
      <c r="E39" s="104">
        <f t="shared" si="5"/>
        <v>0.33333333333333331</v>
      </c>
      <c r="F39" s="104">
        <f t="shared" si="5"/>
        <v>0.44444444444444442</v>
      </c>
      <c r="G39" s="104">
        <f t="shared" si="5"/>
        <v>0</v>
      </c>
      <c r="H39" s="104">
        <f t="shared" si="5"/>
        <v>0</v>
      </c>
      <c r="I39" s="104">
        <f t="shared" si="5"/>
        <v>0.44444444444444442</v>
      </c>
      <c r="J39" s="104">
        <f t="shared" si="5"/>
        <v>0.1111111111111111</v>
      </c>
      <c r="K39" s="104">
        <f t="shared" si="5"/>
        <v>0</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COUNTIF('SATEMA_Cleaned Data'!AN:AN, "oui_potable")</f>
        <v>1</v>
      </c>
      <c r="C45" s="3">
        <f>COUNTIF('SATEMA_Cleaned Data'!AN:AN, "oui_pas_potable")</f>
        <v>7</v>
      </c>
      <c r="D45" s="3">
        <f>COUNTIF('SATEMA_Cleaned Data'!AN:AN, "oui_traitee")</f>
        <v>0</v>
      </c>
      <c r="E45" s="3">
        <f>COUNTIF('SATEMA_Cleaned Data'!AN:AN, "non")</f>
        <v>1</v>
      </c>
      <c r="F45" s="111">
        <f>SUM(B45:E45)</f>
        <v>9</v>
      </c>
      <c r="G45" s="10"/>
      <c r="H45" s="10"/>
      <c r="I45" s="10"/>
      <c r="J45" s="10"/>
      <c r="K45" s="10"/>
      <c r="L45" s="10"/>
      <c r="M45" s="10"/>
      <c r="N45" s="10"/>
      <c r="O45" s="10"/>
      <c r="P45" s="10"/>
      <c r="Q45" s="10"/>
      <c r="R45" s="10"/>
    </row>
    <row r="46" spans="1:26" s="106" customFormat="1" ht="37.5" x14ac:dyDescent="0.3">
      <c r="A46" s="101" t="s">
        <v>1883</v>
      </c>
      <c r="B46" s="104">
        <f>(B45/$E$13)</f>
        <v>0.1111111111111111</v>
      </c>
      <c r="C46" s="104">
        <f t="shared" ref="C46:E46" si="6">(C45/$E$13)</f>
        <v>0.77777777777777779</v>
      </c>
      <c r="D46" s="104">
        <f t="shared" si="6"/>
        <v>0</v>
      </c>
      <c r="E46" s="104">
        <f t="shared" si="6"/>
        <v>0.1111111111111111</v>
      </c>
      <c r="F46" s="100">
        <f>SUM(B46:E46)</f>
        <v>1</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f>AVERAGE('SATEMA_Cleaned Data'!AO:AO)</f>
        <v>300</v>
      </c>
      <c r="B49" s="74" t="s">
        <v>3243</v>
      </c>
      <c r="C49" s="74"/>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COUNTIF('SATEMA_Cleaned Data'!AP:AP,"maisons_alentours")</f>
        <v>0</v>
      </c>
      <c r="C53" s="3">
        <f>COUNTIF('SATEMA_Cleaned Data'!AP:AP,"quartier")</f>
        <v>0</v>
      </c>
      <c r="D53" s="3">
        <f>COUNTIF('SATEMA_Cleaned Data'!AP:AP,"plusieurs_quartiers")</f>
        <v>8</v>
      </c>
      <c r="E53" s="3">
        <f>COUNTIF('SATEMA_Cleaned Data'!AP:AP,"localite")</f>
        <v>1</v>
      </c>
      <c r="F53" s="3">
        <f>COUNTIF('SATEMA_Cleaned Data'!AP:AP,"localite_environs")</f>
        <v>0</v>
      </c>
      <c r="G53" s="3">
        <f>COUNTIF('SATEMA_Cleaned Data'!AP:AP,"nsp")</f>
        <v>0</v>
      </c>
      <c r="H53" s="3">
        <f>COUNTIF('SATEMA_Cleaned Data'!AP:AP,"autre")</f>
        <v>0</v>
      </c>
      <c r="I53" s="111">
        <f>SUM(B53:H53)</f>
        <v>9</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0</v>
      </c>
      <c r="C54" s="104">
        <f t="shared" ref="C54:H54" si="7">(C53/$E$13)</f>
        <v>0</v>
      </c>
      <c r="D54" s="104">
        <f t="shared" si="7"/>
        <v>0.88888888888888884</v>
      </c>
      <c r="E54" s="104">
        <f t="shared" si="7"/>
        <v>0.1111111111111111</v>
      </c>
      <c r="F54" s="104">
        <f t="shared" si="7"/>
        <v>0</v>
      </c>
      <c r="G54" s="104">
        <f t="shared" si="7"/>
        <v>0</v>
      </c>
      <c r="H54" s="104">
        <f t="shared" si="7"/>
        <v>0</v>
      </c>
      <c r="I54" s="100">
        <f>SUM(B54:H54)</f>
        <v>1</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COUNTIF('SATEMA_Cleaned Data'!AR:AR,"moins_trente_min")</f>
        <v>6</v>
      </c>
      <c r="C58" s="3">
        <f>COUNTIF('SATEMA_Cleaned Data'!AR:AR,"une_heure")</f>
        <v>1</v>
      </c>
      <c r="D58" s="3">
        <f>COUNTIF('SATEMA_Cleaned Data'!AR:AR,"une_deux_heures")</f>
        <v>1</v>
      </c>
      <c r="E58" s="3">
        <f>COUNTIF('SATEMA_Cleaned Data'!AR:AR,"deux_trois_heures")</f>
        <v>1</v>
      </c>
      <c r="F58" s="3">
        <f>COUNTIF('SATEMA_Cleaned Data'!AR:AR,"plus_trois_heures")</f>
        <v>0</v>
      </c>
      <c r="G58" s="111">
        <f>SUM(B58:F58)</f>
        <v>9</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0.66666666666666663</v>
      </c>
      <c r="C59" s="94">
        <f t="shared" ref="C59:F59" si="8">(C58/$E$13)</f>
        <v>0.1111111111111111</v>
      </c>
      <c r="D59" s="94">
        <f t="shared" si="8"/>
        <v>0.1111111111111111</v>
      </c>
      <c r="E59" s="94">
        <f t="shared" si="8"/>
        <v>0.1111111111111111</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COUNTIF('SATEMA_Cleaned Data'!AS:AS,"aucun")</f>
        <v>2</v>
      </c>
      <c r="C63" s="3">
        <f>COUNTIF('SATEMA_Cleaned Data'!AS:AS,"moins_trente_minutes")</f>
        <v>3</v>
      </c>
      <c r="D63" s="3">
        <f>COUNTIF('SATEMA_Cleaned Data'!AS:AS,"moins_une_heure")</f>
        <v>1</v>
      </c>
      <c r="E63" s="3">
        <f>COUNTIF('SATEMA_Cleaned Data'!AS:AS,"plus_une_heure")</f>
        <v>2</v>
      </c>
      <c r="F63" s="3">
        <f>COUNTIF('SATEMA_Cleaned Data'!AS:AS,"plus_deux_heures")</f>
        <v>0</v>
      </c>
      <c r="G63" s="3">
        <f>COUNTIF('SATEMA_Cleaned Data'!AS:AS,"plus_trois_heure")</f>
        <v>1</v>
      </c>
      <c r="H63" s="3">
        <f>COUNTIF('SATEMA_Cleaned Data'!AS:AS,"nsp")</f>
        <v>0</v>
      </c>
      <c r="I63" s="111">
        <f>SUM(B63:H63)</f>
        <v>9</v>
      </c>
    </row>
    <row r="64" spans="1:45" s="56" customFormat="1" ht="37" x14ac:dyDescent="0.3">
      <c r="A64" s="54" t="s">
        <v>1883</v>
      </c>
      <c r="B64" s="94">
        <f>(B63/$E$13)</f>
        <v>0.22222222222222221</v>
      </c>
      <c r="C64" s="94">
        <f t="shared" ref="C64:H64" si="9">(C63/$E$13)</f>
        <v>0.33333333333333331</v>
      </c>
      <c r="D64" s="94">
        <f t="shared" si="9"/>
        <v>0.1111111111111111</v>
      </c>
      <c r="E64" s="94">
        <f t="shared" si="9"/>
        <v>0.22222222222222221</v>
      </c>
      <c r="F64" s="94">
        <f t="shared" si="9"/>
        <v>0</v>
      </c>
      <c r="G64" s="94">
        <f t="shared" si="9"/>
        <v>0.1111111111111111</v>
      </c>
      <c r="H64" s="94">
        <f t="shared" si="9"/>
        <v>0</v>
      </c>
      <c r="I64" s="100">
        <f>SUM(B64:H64)</f>
        <v>1</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COUNTIF('SATEMA_Cleaned Data'!AT:AT,"OUI")</f>
        <v>7</v>
      </c>
      <c r="C68" s="3">
        <f>COUNTIF('SATEMA_Cleaned Data'!AT:AT,"non")</f>
        <v>2</v>
      </c>
      <c r="D68" s="111">
        <f>SUM(B68:C68)</f>
        <v>9</v>
      </c>
      <c r="E68" s="10"/>
      <c r="F68" s="10"/>
      <c r="G68" s="10"/>
      <c r="H68" s="10"/>
      <c r="I68" s="10"/>
      <c r="J68" s="10"/>
      <c r="K68" s="10"/>
      <c r="L68" s="10"/>
      <c r="M68" s="10"/>
      <c r="N68" s="10"/>
      <c r="O68" s="10"/>
      <c r="P68" s="10"/>
      <c r="Q68" s="10"/>
      <c r="R68" s="10"/>
    </row>
    <row r="69" spans="1:26" s="56" customFormat="1" ht="37" x14ac:dyDescent="0.3">
      <c r="A69" s="54" t="s">
        <v>1883</v>
      </c>
      <c r="B69" s="94">
        <f>(B68/$E$13)</f>
        <v>0.77777777777777779</v>
      </c>
      <c r="C69" s="94">
        <f>(C68/$E$13)</f>
        <v>0.22222222222222221</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COUNTIF('SATEMA_Cleaned Data'!AU:AU,"bcp_diminue")</f>
        <v>0</v>
      </c>
      <c r="D73" s="3">
        <f>COUNTIF('SATEMA_Cleaned Data'!AU:AU,"peu_diminue")</f>
        <v>0</v>
      </c>
      <c r="E73" s="3">
        <f>COUNTIF('SATEMA_Cleaned Data'!AU:AU,"bcp_augmente")</f>
        <v>7</v>
      </c>
      <c r="F73" s="3">
        <f>COUNTIF('SATEMA_Cleaned Data'!AU:AU,"PEU_augmente")</f>
        <v>0</v>
      </c>
      <c r="G73" s="111">
        <f>SUM(C73:F73)</f>
        <v>7</v>
      </c>
      <c r="H73" s="10"/>
      <c r="I73" s="10"/>
      <c r="J73" s="10"/>
      <c r="K73" s="10"/>
      <c r="L73" s="10"/>
      <c r="M73" s="10"/>
      <c r="N73" s="10"/>
      <c r="O73" s="10"/>
      <c r="P73" s="10"/>
      <c r="Q73" s="10"/>
      <c r="R73" s="10"/>
    </row>
    <row r="74" spans="1:26" ht="60.5" x14ac:dyDescent="0.3">
      <c r="A74" s="10"/>
      <c r="B74" s="53" t="s">
        <v>3250</v>
      </c>
      <c r="C74" s="7">
        <f>(C73/$B$68)</f>
        <v>0</v>
      </c>
      <c r="D74" s="7">
        <f>(D73/$B$68)</f>
        <v>0</v>
      </c>
      <c r="E74" s="7">
        <f>(E73/$B$68)</f>
        <v>1</v>
      </c>
      <c r="F74" s="7">
        <f>(F73/$B$68)</f>
        <v>0</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1905</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COUNTIF('SATEMA_Cleaned Data'!AV:AV,"1")</f>
        <v>0</v>
      </c>
      <c r="D78" s="3">
        <f>COUNTIF('SATEMA_Cleaned Data'!AW:AW,"1")</f>
        <v>2</v>
      </c>
      <c r="E78" s="3">
        <f>COUNTIF('SATEMA_Cleaned Data'!AX:AX,"1")</f>
        <v>0</v>
      </c>
      <c r="F78" s="3">
        <f>COUNTIF('SATEMA_Cleaned Data'!AY:AY,"1")</f>
        <v>4</v>
      </c>
      <c r="G78" s="3">
        <f>COUNTIF('SATEMA_Cleaned Data'!AZ:AZ,"1")</f>
        <v>3</v>
      </c>
      <c r="H78" s="3">
        <f>COUNTIF('SATEMA_Cleaned Data'!BA:BA,"1")</f>
        <v>0</v>
      </c>
      <c r="I78" s="3">
        <f>COUNTIF('SATEMA_Cleaned Data'!BB:BB,"1")</f>
        <v>4</v>
      </c>
      <c r="J78" s="3">
        <f>COUNTIF('SATEMA_Cleaned Data'!BC:BC,"1")</f>
        <v>0</v>
      </c>
      <c r="K78" s="20"/>
      <c r="L78" s="10"/>
      <c r="M78" s="10"/>
      <c r="N78" s="10"/>
      <c r="O78" s="10"/>
      <c r="P78" s="10"/>
      <c r="Q78" s="10"/>
      <c r="R78" s="10"/>
    </row>
    <row r="79" spans="1:26" ht="60.5" x14ac:dyDescent="0.3">
      <c r="A79" s="10"/>
      <c r="B79" s="53" t="s">
        <v>3251</v>
      </c>
      <c r="C79" s="7">
        <f t="shared" ref="C79:J79" si="10">C78/$E$73</f>
        <v>0</v>
      </c>
      <c r="D79" s="7">
        <f t="shared" si="10"/>
        <v>0.2857142857142857</v>
      </c>
      <c r="E79" s="7">
        <f t="shared" si="10"/>
        <v>0</v>
      </c>
      <c r="F79" s="7">
        <f t="shared" si="10"/>
        <v>0.5714285714285714</v>
      </c>
      <c r="G79" s="7">
        <f t="shared" si="10"/>
        <v>0.42857142857142855</v>
      </c>
      <c r="H79" s="7">
        <f t="shared" si="10"/>
        <v>0</v>
      </c>
      <c r="I79" s="7">
        <f t="shared" si="10"/>
        <v>0.5714285714285714</v>
      </c>
      <c r="J79" s="7">
        <f t="shared" si="10"/>
        <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COUNTIF('SATEMA_Cleaned Data'!BF:BF,"1")</f>
        <v>0</v>
      </c>
      <c r="D83" s="3">
        <f>COUNTIF('SATEMA_Cleaned Data'!BG:BG,"1")</f>
        <v>0</v>
      </c>
      <c r="E83" s="3">
        <f>COUNTIF('SATEMA_Cleaned Data'!BH:BH,"1")</f>
        <v>0</v>
      </c>
      <c r="F83" s="3">
        <f>COUNTIF('SATEMA_Cleaned Data'!BI:BI,"1")</f>
        <v>0</v>
      </c>
      <c r="G83" s="3">
        <f>COUNTIF('SATEMA_Cleaned Data'!BJ:BJ,"1")</f>
        <v>0</v>
      </c>
      <c r="H83" s="3">
        <f>COUNTIF('SATEMA_Cleaned Data'!BK:BK,"1")</f>
        <v>0</v>
      </c>
      <c r="I83" s="3">
        <f>COUNTIF('SATEMA_Cleaned Data'!BL:BL,"1")</f>
        <v>0</v>
      </c>
      <c r="J83" s="10"/>
      <c r="K83" s="10"/>
      <c r="L83" s="10"/>
      <c r="M83" s="10"/>
      <c r="N83" s="10"/>
      <c r="O83" s="10"/>
      <c r="P83" s="10"/>
      <c r="Q83" s="10"/>
      <c r="R83" s="10"/>
    </row>
    <row r="84" spans="1:26" ht="60.5" x14ac:dyDescent="0.3">
      <c r="A84" s="10"/>
      <c r="B84" s="53" t="s">
        <v>3252</v>
      </c>
      <c r="C84" s="7" t="e">
        <f t="shared" ref="C84:I84" si="11">C83/$D$73</f>
        <v>#DIV/0!</v>
      </c>
      <c r="D84" s="7" t="e">
        <f t="shared" si="11"/>
        <v>#DIV/0!</v>
      </c>
      <c r="E84" s="7" t="e">
        <f t="shared" si="11"/>
        <v>#DIV/0!</v>
      </c>
      <c r="F84" s="7" t="e">
        <f t="shared" si="11"/>
        <v>#DIV/0!</v>
      </c>
      <c r="G84" s="7" t="e">
        <f t="shared" si="11"/>
        <v>#DIV/0!</v>
      </c>
      <c r="H84" s="7" t="e">
        <f t="shared" si="11"/>
        <v>#DIV/0!</v>
      </c>
      <c r="I84" s="7" t="e">
        <f t="shared" si="11"/>
        <v>#DIV/0!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COUNTIF('SATEMA_Cleaned Data'!W:W,"OUI")</f>
        <v>5</v>
      </c>
      <c r="C90" s="3">
        <f>COUNTIF('SATEMA_Cleaned Data'!W:W,"non")</f>
        <v>4</v>
      </c>
      <c r="D90" s="3">
        <f>COUNTIF('SATEMA_Cleaned Data'!W:W,"nsp")</f>
        <v>0</v>
      </c>
      <c r="E90" s="111">
        <f>SUM(B90:D90)</f>
        <v>9</v>
      </c>
      <c r="F90" s="10"/>
      <c r="G90" s="10"/>
      <c r="H90" s="10"/>
      <c r="I90" s="10"/>
      <c r="J90" s="10"/>
      <c r="K90" s="10"/>
      <c r="L90" s="10"/>
      <c r="M90" s="10"/>
      <c r="N90" s="10"/>
      <c r="O90" s="10"/>
      <c r="P90" s="10"/>
      <c r="Q90" s="10"/>
      <c r="R90" s="10"/>
    </row>
    <row r="91" spans="1:26" ht="26" x14ac:dyDescent="0.3">
      <c r="A91" s="53" t="s">
        <v>3246</v>
      </c>
      <c r="B91" s="7">
        <f>(B90/$B$3)</f>
        <v>0.55555555555555558</v>
      </c>
      <c r="C91" s="7">
        <f>(C90/$B$3)</f>
        <v>0.44444444444444442</v>
      </c>
      <c r="D91" s="7">
        <f>(D90/$B$3)</f>
        <v>0</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COUNTIF('SATEMA_Cleaned Data'!CC:CC,"oui")</f>
        <v>0</v>
      </c>
      <c r="C95" s="3">
        <f>COUNTIF('SATEMA_Cleaned Data'!CC:CC,"non")</f>
        <v>9</v>
      </c>
      <c r="D95" s="111">
        <f>SUM(A95:C95)</f>
        <v>9</v>
      </c>
      <c r="E95" s="10"/>
      <c r="F95" s="10"/>
      <c r="G95" s="10"/>
      <c r="H95" s="10"/>
      <c r="I95" s="10"/>
      <c r="J95" s="10"/>
      <c r="K95" s="10"/>
      <c r="L95" s="10"/>
      <c r="M95" s="10"/>
      <c r="N95" s="10"/>
      <c r="O95" s="10"/>
      <c r="P95" s="10"/>
      <c r="Q95" s="10"/>
      <c r="R95" s="10"/>
    </row>
    <row r="96" spans="1:26" ht="37" x14ac:dyDescent="0.3">
      <c r="A96" s="54" t="s">
        <v>1883</v>
      </c>
      <c r="B96" s="7">
        <f>(B95/$E$13)</f>
        <v>0</v>
      </c>
      <c r="C96" s="7">
        <f>(C95/$E$13)</f>
        <v>1</v>
      </c>
      <c r="D96" s="100">
        <f>SUM(A96:C96)</f>
        <v>1</v>
      </c>
      <c r="E96" s="10"/>
      <c r="F96" s="10"/>
      <c r="G96" s="10"/>
      <c r="H96" s="10"/>
      <c r="I96" s="10"/>
      <c r="J96" s="10"/>
      <c r="K96" s="10"/>
      <c r="L96" s="10"/>
      <c r="M96" s="10"/>
      <c r="N96" s="10"/>
      <c r="O96" s="10"/>
      <c r="P96" s="10"/>
      <c r="Q96" s="10"/>
      <c r="R96" s="10"/>
    </row>
    <row r="97" spans="2:11" s="10" customFormat="1" x14ac:dyDescent="0.3"/>
    <row r="98" spans="2:11" s="10" customFormat="1" x14ac:dyDescent="0.3">
      <c r="B98" s="18" t="s">
        <v>1242</v>
      </c>
    </row>
    <row r="99" spans="2:11" s="10" customFormat="1" x14ac:dyDescent="0.3">
      <c r="B99" s="21" t="e">
        <f>AVERAGE('SATEMA_Cleaned Data'!CF:CF)</f>
        <v>#DIV/0!</v>
      </c>
      <c r="C99" s="22" t="s">
        <v>1243</v>
      </c>
      <c r="D99" s="21" t="s">
        <v>1897</v>
      </c>
      <c r="F99" s="74"/>
      <c r="G99" s="74" t="s">
        <v>3336</v>
      </c>
    </row>
    <row r="100" spans="2:11" s="10" customFormat="1" x14ac:dyDescent="0.3"/>
    <row r="101" spans="2:11" s="10" customFormat="1" x14ac:dyDescent="0.3">
      <c r="B101" s="18" t="s">
        <v>1244</v>
      </c>
    </row>
    <row r="102" spans="2:11" s="10" customFormat="1" x14ac:dyDescent="0.3">
      <c r="B102" s="3"/>
      <c r="C102" s="11" t="s">
        <v>1210</v>
      </c>
      <c r="D102" s="11" t="s">
        <v>1209</v>
      </c>
      <c r="E102" s="11" t="s">
        <v>3259</v>
      </c>
      <c r="F102" s="110" t="s">
        <v>1206</v>
      </c>
    </row>
    <row r="103" spans="2:11" s="10" customFormat="1" x14ac:dyDescent="0.3">
      <c r="B103" s="3" t="s">
        <v>1207</v>
      </c>
      <c r="C103" s="3">
        <f>COUNTIF('SATEMA_Cleaned Data'!CG:CG,"OUI")</f>
        <v>0</v>
      </c>
      <c r="D103" s="3">
        <f>COUNTIF('SATEMA_Cleaned Data'!CG:CG,"non")</f>
        <v>0</v>
      </c>
      <c r="E103" s="3">
        <f>COUNTIF('SATEMA_Cleaned Data'!CG:CG,"nsp")</f>
        <v>0</v>
      </c>
      <c r="F103" s="111">
        <f>SUM(C103:E103)</f>
        <v>0</v>
      </c>
    </row>
    <row r="104" spans="2:11" s="10" customFormat="1" ht="37.5" x14ac:dyDescent="0.3">
      <c r="B104" s="53" t="s">
        <v>3253</v>
      </c>
      <c r="C104" s="7" t="e">
        <f>(C103/$B$95)</f>
        <v>#DIV/0!</v>
      </c>
      <c r="D104" s="7" t="e">
        <f>(D103/$B$95)</f>
        <v>#DIV/0!</v>
      </c>
      <c r="E104" s="7" t="e">
        <f>(E103/$B$95)</f>
        <v>#DIV/0!</v>
      </c>
      <c r="F104" s="100" t="e">
        <f>SUM(C104:E104)</f>
        <v>#DIV/0!</v>
      </c>
      <c r="K104" s="1"/>
    </row>
    <row r="105" spans="2:11" s="10" customFormat="1" x14ac:dyDescent="0.3">
      <c r="B105" s="14"/>
      <c r="C105" s="15"/>
      <c r="D105" s="15"/>
      <c r="K105" s="1"/>
    </row>
    <row r="106" spans="2:11" s="10" customFormat="1" x14ac:dyDescent="0.3">
      <c r="B106" s="18" t="s">
        <v>1224</v>
      </c>
    </row>
    <row r="107" spans="2:11" s="10" customFormat="1" ht="28" x14ac:dyDescent="0.3">
      <c r="B107" s="3"/>
      <c r="C107" s="12" t="s">
        <v>1226</v>
      </c>
      <c r="D107" s="12" t="s">
        <v>1405</v>
      </c>
      <c r="E107" s="12" t="s">
        <v>1225</v>
      </c>
      <c r="F107" s="12" t="s">
        <v>1404</v>
      </c>
      <c r="G107" s="110" t="s">
        <v>1206</v>
      </c>
    </row>
    <row r="108" spans="2:11" s="10" customFormat="1" x14ac:dyDescent="0.3">
      <c r="B108" s="3" t="s">
        <v>1207</v>
      </c>
      <c r="C108" s="3">
        <f>COUNTIF('SATEMA_Cleaned Data'!CH:CH,"bcp_diminue")</f>
        <v>0</v>
      </c>
      <c r="D108" s="3">
        <f>COUNTIF('SATEMA_Cleaned Data'!CH:CH,"peu_diminue")</f>
        <v>0</v>
      </c>
      <c r="E108" s="3">
        <f>COUNTIF('SATEMA_Cleaned Data'!CH:CH,"bcp_augmente")</f>
        <v>0</v>
      </c>
      <c r="F108" s="3">
        <f>COUNTIF('SATEMA_Cleaned Data'!CH:CH,"PEU_augmente")</f>
        <v>0</v>
      </c>
      <c r="G108" s="111">
        <f>SUM(C108:F108)</f>
        <v>0</v>
      </c>
    </row>
    <row r="109" spans="2:11" s="10" customFormat="1" ht="60.5" x14ac:dyDescent="0.3">
      <c r="B109" s="53" t="s">
        <v>3254</v>
      </c>
      <c r="C109" s="7" t="e">
        <f>(C108/$C$103)</f>
        <v>#DIV/0!</v>
      </c>
      <c r="D109" s="7" t="e">
        <f>(D108/$C$103)</f>
        <v>#DIV/0!</v>
      </c>
      <c r="E109" s="7" t="e">
        <f>(E108/$C$103)</f>
        <v>#DIV/0!</v>
      </c>
      <c r="F109" s="7" t="e">
        <f>(F108/$C$103)</f>
        <v>#DIV/0!</v>
      </c>
      <c r="G109" s="100" t="e">
        <f>SUM(C109:F109)</f>
        <v>#DIV/0!</v>
      </c>
    </row>
    <row r="110" spans="2:11" s="10" customFormat="1" x14ac:dyDescent="0.3"/>
    <row r="111" spans="2:11" s="10" customFormat="1" x14ac:dyDescent="0.3">
      <c r="B111" s="1" t="s">
        <v>1245</v>
      </c>
      <c r="C111" s="1"/>
    </row>
    <row r="112" spans="2:11" s="10" customFormat="1" ht="42" x14ac:dyDescent="0.3">
      <c r="B112" s="11" t="s">
        <v>1246</v>
      </c>
      <c r="C112" s="11" t="s">
        <v>1247</v>
      </c>
      <c r="D112" s="11" t="s">
        <v>1248</v>
      </c>
      <c r="E112" s="11" t="s">
        <v>1249</v>
      </c>
      <c r="F112" s="11" t="s">
        <v>3259</v>
      </c>
      <c r="G112" s="11" t="s">
        <v>1205</v>
      </c>
      <c r="H112" s="110" t="s">
        <v>1206</v>
      </c>
    </row>
    <row r="113" spans="1:26" x14ac:dyDescent="0.3">
      <c r="A113" s="10"/>
      <c r="B113" s="3">
        <f>COUNTIF('SATEMA_Cleaned Data'!CJ:CJ,"1")</f>
        <v>0</v>
      </c>
      <c r="C113" s="3">
        <f>COUNTIF('SATEMA_Cleaned Data'!CK:CK,"1")</f>
        <v>0</v>
      </c>
      <c r="D113" s="3">
        <f>COUNTIF('SATEMA_Cleaned Data'!CL:CL,"1")</f>
        <v>0</v>
      </c>
      <c r="E113" s="3">
        <f>COUNTIF('SATEMA_Cleaned Data'!CM:CM,"1")</f>
        <v>0</v>
      </c>
      <c r="F113" s="3">
        <f>COUNTIF('SATEMA_Cleaned Data'!CN:CN,"1")</f>
        <v>0</v>
      </c>
      <c r="G113" s="3">
        <f>COUNTIF('SATEMA_Cleaned Data'!CO:CO,"1")</f>
        <v>0</v>
      </c>
      <c r="H113" s="111">
        <f>SUM(B113:G113)</f>
        <v>0</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COUNTIF('SATEMA_Cleaned Data'!CZ:CZ,"1")</f>
        <v>0</v>
      </c>
      <c r="C117" s="3">
        <f>COUNTIF('SATEMA_Cleaned Data'!DA:DA,"1")</f>
        <v>0</v>
      </c>
      <c r="D117" s="3">
        <f>COUNTIF('SATEMA_Cleaned Data'!DB:DB,"1")</f>
        <v>0</v>
      </c>
      <c r="E117" s="3">
        <f>COUNTIF('SATEMA_Cleaned Data'!DC:DC,"1")</f>
        <v>0</v>
      </c>
      <c r="F117" s="3">
        <f>COUNTIF('SATEMA_Cleaned Data'!DD:DD,"1")</f>
        <v>0</v>
      </c>
      <c r="G117" s="3">
        <f>COUNTIF('SATEMA_Cleaned Data'!DE:DE,"1")</f>
        <v>0</v>
      </c>
      <c r="H117" s="3">
        <f>COUNTIF('SATEMA_Cleaned Data'!DF:DF,"1")</f>
        <v>0</v>
      </c>
      <c r="I117" s="3">
        <f>COUNTIF('SATEMA_Cleaned Data'!DG:DG,"1")</f>
        <v>0</v>
      </c>
      <c r="J117" s="111">
        <f>SUM(B117:I117)</f>
        <v>0</v>
      </c>
      <c r="K117" s="10"/>
      <c r="L117" s="10"/>
      <c r="M117" s="10"/>
      <c r="N117" s="10"/>
      <c r="O117" s="10"/>
      <c r="P117" s="10"/>
      <c r="Q117" s="10"/>
      <c r="R117" s="10"/>
    </row>
    <row r="118" spans="1:26" ht="37.5" x14ac:dyDescent="0.3">
      <c r="A118" s="53" t="s">
        <v>1921</v>
      </c>
      <c r="B118" s="7" t="e">
        <f>B117/$B$95</f>
        <v>#DIV/0!</v>
      </c>
      <c r="C118" s="7" t="e">
        <f t="shared" ref="C118:I118" si="12">C117/$B$95</f>
        <v>#DIV/0!</v>
      </c>
      <c r="D118" s="7" t="e">
        <f t="shared" si="12"/>
        <v>#DIV/0!</v>
      </c>
      <c r="E118" s="7" t="e">
        <f t="shared" si="12"/>
        <v>#DIV/0!</v>
      </c>
      <c r="F118" s="7" t="e">
        <f t="shared" si="12"/>
        <v>#DIV/0!</v>
      </c>
      <c r="G118" s="7" t="e">
        <f t="shared" si="12"/>
        <v>#DIV/0!</v>
      </c>
      <c r="H118" s="7" t="e">
        <f t="shared" si="12"/>
        <v>#DIV/0!</v>
      </c>
      <c r="I118" s="7" t="e">
        <f t="shared" si="12"/>
        <v>#DIV/0!</v>
      </c>
      <c r="J118" s="100" t="e">
        <f>SUM(B118:I118)</f>
        <v>#DIV/0!</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COUNTIF('SATEMA_Cleaned Data'!DI:DI,"OUI")</f>
        <v>0</v>
      </c>
      <c r="C122" s="3">
        <f>COUNTIF('SATEMA_Cleaned Data'!DI:DI,"non")</f>
        <v>0</v>
      </c>
      <c r="D122" s="3">
        <f>COUNTIF('SATEMA_Cleaned Data'!DI:DI,"nsp")</f>
        <v>0</v>
      </c>
      <c r="E122" s="111">
        <f>SUM(B122:D122)</f>
        <v>0</v>
      </c>
      <c r="F122" s="10"/>
      <c r="G122" s="10"/>
      <c r="H122" s="10"/>
      <c r="I122" s="10"/>
      <c r="J122" s="10"/>
      <c r="K122" s="10"/>
      <c r="L122" s="10"/>
      <c r="M122" s="10"/>
      <c r="N122" s="10"/>
      <c r="O122" s="10"/>
      <c r="P122" s="10"/>
      <c r="Q122" s="10"/>
      <c r="R122" s="10"/>
    </row>
    <row r="123" spans="1:26" ht="37.5" x14ac:dyDescent="0.3">
      <c r="A123" s="53" t="s">
        <v>1921</v>
      </c>
      <c r="B123" s="7" t="e">
        <f>(B122/$B$95)</f>
        <v>#DIV/0!</v>
      </c>
      <c r="C123" s="7" t="e">
        <f>(C122/$B$95)</f>
        <v>#DIV/0!</v>
      </c>
      <c r="D123" s="7" t="e">
        <f>(D122/$B$95)</f>
        <v>#DIV/0!</v>
      </c>
      <c r="E123" s="100" t="e">
        <f>SUM(B123:D123)</f>
        <v>#DIV/0!</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COUNTIF('SATEMA_Cleaned Data'!DR:DR,"1")</f>
        <v>1</v>
      </c>
      <c r="C127" s="3">
        <f>COUNTIF('SATEMA_Cleaned Data'!DS:DS,"1")</f>
        <v>0</v>
      </c>
      <c r="D127" s="3">
        <f>COUNTIF('SATEMA_Cleaned Data'!DT:DT,"1")</f>
        <v>0</v>
      </c>
      <c r="E127" s="3">
        <f>COUNTIF('SATEMA_Cleaned Data'!DU:DU,"1")</f>
        <v>0</v>
      </c>
      <c r="F127" s="3">
        <f>COUNTIF('SATEMA_Cleaned Data'!DV:DV,"1")</f>
        <v>8</v>
      </c>
      <c r="G127" s="10"/>
      <c r="H127" s="10"/>
      <c r="I127" s="10"/>
      <c r="J127" s="10"/>
      <c r="K127" s="10"/>
      <c r="L127" s="10"/>
      <c r="M127" s="10"/>
      <c r="N127" s="10"/>
      <c r="O127" s="10"/>
      <c r="P127" s="10"/>
      <c r="Q127" s="10"/>
      <c r="R127" s="10"/>
    </row>
    <row r="128" spans="1:26" s="56" customFormat="1" ht="25.5" x14ac:dyDescent="0.3">
      <c r="A128" s="54" t="s">
        <v>3328</v>
      </c>
      <c r="B128" s="55">
        <f>(B127/$B$3)</f>
        <v>0.1111111111111111</v>
      </c>
      <c r="C128" s="55">
        <f t="shared" ref="C128:F128" si="13">(C127/$B$3)</f>
        <v>0</v>
      </c>
      <c r="D128" s="55">
        <f t="shared" si="13"/>
        <v>0</v>
      </c>
      <c r="E128" s="55">
        <f t="shared" si="13"/>
        <v>0</v>
      </c>
      <c r="F128" s="55">
        <f t="shared" si="13"/>
        <v>0.88888888888888884</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10"/>
      <c r="F129" s="10"/>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N131" s="112"/>
      <c r="O131" s="98"/>
      <c r="P131" s="98"/>
      <c r="Q131" s="98"/>
      <c r="R131" s="98"/>
      <c r="S131" s="98"/>
      <c r="T131" s="98"/>
      <c r="U131" s="98"/>
      <c r="V131" s="98"/>
      <c r="W131" s="98"/>
      <c r="X131" s="98"/>
      <c r="Y131" s="98"/>
      <c r="Z131" s="98"/>
    </row>
    <row r="132" spans="1:26" x14ac:dyDescent="0.3">
      <c r="A132" s="3">
        <f>COUNTIF('SATEMA_Cleaned Data'!DY:DY,"1")</f>
        <v>6</v>
      </c>
      <c r="B132" s="3">
        <f>COUNTIF('SATEMA_Cleaned Data'!DZ:DZ,"1")</f>
        <v>6</v>
      </c>
      <c r="C132" s="3">
        <f>COUNTIF('SATEMA_Cleaned Data'!EA:EA,"1")</f>
        <v>0</v>
      </c>
      <c r="D132" s="3">
        <f>COUNTIF('SATEMA_Cleaned Data'!EB:EB,"1")</f>
        <v>0</v>
      </c>
      <c r="E132" s="3">
        <f>COUNTIF('SATEMA_Cleaned Data'!EC:EC,"1")</f>
        <v>0</v>
      </c>
      <c r="F132" s="3">
        <f>COUNTIF('SATEMA_Cleaned Data'!ED:ED,"1")</f>
        <v>0</v>
      </c>
      <c r="G132" s="3">
        <f>COUNTIF('SATEMA_Cleaned Data'!EE:EE,"1")</f>
        <v>0</v>
      </c>
      <c r="H132" s="3">
        <f>COUNTIF('SATEMA_Cleaned Data'!EF:EF,"1")</f>
        <v>9</v>
      </c>
      <c r="I132" s="3">
        <f>COUNTIF('SATEMA_Cleaned Data'!EG:EG,"1")</f>
        <v>7</v>
      </c>
      <c r="J132" s="3">
        <f>COUNTIF('SATEMA_Cleaned Data'!EH:EH,"1")</f>
        <v>0</v>
      </c>
      <c r="K132" s="3">
        <f>COUNTIF('SATEMA_Cleaned Data'!EI:EI,"1")</f>
        <v>0</v>
      </c>
      <c r="L132" s="3">
        <f>COUNTIF('SATEMA_Cleaned Data'!EJ:EJ,"1")</f>
        <v>0</v>
      </c>
      <c r="N132" s="10"/>
      <c r="O132" s="10"/>
      <c r="P132" s="10"/>
      <c r="Q132" s="10"/>
      <c r="R132" s="10"/>
    </row>
    <row r="133" spans="1:26" x14ac:dyDescent="0.3">
      <c r="A133" s="10"/>
      <c r="B133" s="10"/>
      <c r="C133" s="10"/>
      <c r="D133" s="10"/>
      <c r="E133" s="10"/>
      <c r="F133" s="10"/>
      <c r="G133" s="10"/>
      <c r="H133" s="10"/>
      <c r="I133" s="10"/>
      <c r="J133" s="10"/>
      <c r="K133" s="10"/>
      <c r="L133" s="10"/>
      <c r="M133" s="10"/>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5">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N135" s="98"/>
      <c r="O135" s="98"/>
      <c r="P135" s="98"/>
      <c r="Q135" s="98"/>
      <c r="R135" s="98"/>
      <c r="S135" s="98"/>
      <c r="T135" s="98"/>
      <c r="U135" s="98"/>
      <c r="V135" s="98"/>
      <c r="W135" s="98"/>
      <c r="X135" s="98"/>
      <c r="Y135" s="98"/>
      <c r="Z135" s="98"/>
    </row>
    <row r="136" spans="1:26" x14ac:dyDescent="0.3">
      <c r="A136" s="24">
        <f>COUNTIF('SATEMA_Cleaned Data'!EN:EN,"1")</f>
        <v>0</v>
      </c>
      <c r="B136" s="24">
        <f>COUNTIF('SATEMA_Cleaned Data'!EO:EO,"1")</f>
        <v>0</v>
      </c>
      <c r="C136" s="24">
        <f>COUNTIF('SATEMA_Cleaned Data'!EP:EP,"1")</f>
        <v>0</v>
      </c>
      <c r="D136" s="24">
        <f>COUNTIF('SATEMA_Cleaned Data'!EQ:EQ,"1")</f>
        <v>0</v>
      </c>
      <c r="E136" s="24">
        <f>COUNTIF('SATEMA_Cleaned Data'!ER:ER,"1")</f>
        <v>4</v>
      </c>
      <c r="F136" s="24">
        <f>COUNTIF('SATEMA_Cleaned Data'!ES:ES,"1")</f>
        <v>4</v>
      </c>
      <c r="G136" s="24">
        <f>COUNTIF('SATEMA_Cleaned Data'!ET:ET,"1")</f>
        <v>6</v>
      </c>
      <c r="H136" s="24">
        <f>COUNTIF('SATEMA_Cleaned Data'!EU:EU,"1")</f>
        <v>4</v>
      </c>
      <c r="I136" s="24">
        <f>COUNTIF('SATEMA_Cleaned Data'!EV:EV,"1")</f>
        <v>1</v>
      </c>
      <c r="J136" s="24">
        <f>COUNTIF('SATEMA_Cleaned Data'!EW:EW,"1")</f>
        <v>2</v>
      </c>
      <c r="K136" s="24">
        <f>COUNTIF('SATEMA_Cleaned Data'!EX:EX,"1")</f>
        <v>0</v>
      </c>
      <c r="L136" s="24">
        <f>COUNTIF('SATEMA_Cleaned Data'!EY:EY,"1")</f>
        <v>0</v>
      </c>
      <c r="N136" s="10"/>
      <c r="O136" s="10"/>
      <c r="P136" s="10"/>
      <c r="Q136" s="10"/>
      <c r="R136" s="10"/>
    </row>
    <row r="137" spans="1:26" x14ac:dyDescent="0.3">
      <c r="A137" s="10"/>
      <c r="B137" s="10"/>
      <c r="C137" s="10"/>
      <c r="D137" s="10"/>
      <c r="E137" s="10"/>
      <c r="F137" s="10"/>
      <c r="G137" s="10"/>
      <c r="H137" s="10"/>
      <c r="I137" s="10"/>
      <c r="J137" s="10"/>
      <c r="K137" s="10"/>
      <c r="L137" s="10"/>
      <c r="M137" s="10"/>
      <c r="N137" s="10"/>
      <c r="O137" s="10"/>
      <c r="P137" s="10"/>
      <c r="Q137" s="10"/>
      <c r="R137" s="10"/>
    </row>
    <row r="138" spans="1:26" ht="15.5" x14ac:dyDescent="0.35">
      <c r="A138" s="29" t="s">
        <v>1334</v>
      </c>
      <c r="B138" s="10"/>
      <c r="C138" s="10"/>
      <c r="D138" s="10"/>
      <c r="E138" s="10"/>
      <c r="F138" s="10"/>
      <c r="G138" s="10"/>
      <c r="H138" s="10"/>
      <c r="I138" s="10"/>
      <c r="J138" s="10"/>
      <c r="K138" s="10"/>
      <c r="L138" s="10"/>
      <c r="M138" s="10"/>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COUNTIF('SATEMA_Cleaned Data'!FB:FB,"OUI")</f>
        <v>1</v>
      </c>
      <c r="C140" s="24">
        <f>COUNTIF('SATEMA_Cleaned Data'!FB:FB,"non")</f>
        <v>8</v>
      </c>
      <c r="D140" s="111">
        <f>SUM(B140:C140)</f>
        <v>9</v>
      </c>
      <c r="E140" s="10"/>
      <c r="F140" s="10"/>
      <c r="G140" s="10"/>
      <c r="H140" s="10"/>
      <c r="I140" s="10"/>
      <c r="J140" s="10"/>
      <c r="K140" s="10"/>
      <c r="L140" s="10"/>
      <c r="M140" s="10"/>
      <c r="N140" s="10"/>
      <c r="O140" s="10"/>
      <c r="P140" s="10"/>
      <c r="Q140" s="10"/>
      <c r="R140" s="10"/>
    </row>
    <row r="141" spans="1:26" ht="26" x14ac:dyDescent="0.3">
      <c r="A141" s="53" t="s">
        <v>3246</v>
      </c>
      <c r="B141" s="7">
        <f>(B140/$B$3)</f>
        <v>0.1111111111111111</v>
      </c>
      <c r="C141" s="7">
        <f>(C140/$B$3)</f>
        <v>0.88888888888888884</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COUNTIF('SATEMA_Cleaned Data'!FD:FD,"1")</f>
        <v>0</v>
      </c>
      <c r="D145" s="24">
        <f>COUNTIF('SATEMA_Cleaned Data'!FE:FE,"1")</f>
        <v>0</v>
      </c>
      <c r="E145" s="24">
        <f>COUNTIF('SATEMA_Cleaned Data'!FF:FF,"1")</f>
        <v>0</v>
      </c>
      <c r="F145" s="24">
        <f>COUNTIF('SATEMA_Cleaned Data'!FG:FG,"1")</f>
        <v>0</v>
      </c>
      <c r="G145" s="24">
        <f>COUNTIF('SATEMA_Cleaned Data'!FH:FH,"1")</f>
        <v>1</v>
      </c>
      <c r="H145" s="24">
        <f>COUNTIF('SATEMA_Cleaned Data'!FI:FI,"1")</f>
        <v>0</v>
      </c>
      <c r="I145" s="24">
        <f>COUNTIF('SATEMA_Cleaned Data'!FJ:FJ,"1")</f>
        <v>0</v>
      </c>
      <c r="J145" s="10"/>
      <c r="K145" s="10"/>
      <c r="L145" s="10"/>
      <c r="M145" s="10"/>
      <c r="N145" s="10"/>
      <c r="O145" s="10"/>
      <c r="P145" s="10"/>
      <c r="Q145" s="10"/>
      <c r="R145" s="10"/>
    </row>
    <row r="146" spans="1:26" ht="49" x14ac:dyDescent="0.3">
      <c r="A146" s="10"/>
      <c r="B146" s="53" t="s">
        <v>3255</v>
      </c>
      <c r="C146" s="7">
        <f>C145/$B$140</f>
        <v>0</v>
      </c>
      <c r="D146" s="7">
        <f t="shared" ref="D146:I146" si="14">D145/$B$140</f>
        <v>0</v>
      </c>
      <c r="E146" s="7">
        <f t="shared" si="14"/>
        <v>0</v>
      </c>
      <c r="F146" s="7">
        <f t="shared" si="14"/>
        <v>0</v>
      </c>
      <c r="G146" s="7">
        <f t="shared" si="14"/>
        <v>1</v>
      </c>
      <c r="H146" s="7">
        <f t="shared" si="14"/>
        <v>0</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COUNTIF('SATEMA_Cleaned Data'!FM:FM,"1")</f>
        <v>0</v>
      </c>
      <c r="D150" s="24">
        <f>COUNTIF('SATEMA_Cleaned Data'!FN:FN,"1")</f>
        <v>1</v>
      </c>
      <c r="E150" s="24">
        <f>COUNTIF('SATEMA_Cleaned Data'!FO:FO,"1")</f>
        <v>0</v>
      </c>
      <c r="F150" s="24">
        <f>COUNTIF('SATEMA_Cleaned Data'!FP:FP,"1")</f>
        <v>0</v>
      </c>
      <c r="G150" s="24">
        <f>COUNTIF('SATEMA_Cleaned Data'!FQ:FQ,"1")</f>
        <v>0</v>
      </c>
      <c r="H150" s="24">
        <f>COUNTIF('SATEMA_Cleaned Data'!FR:FR,"1")</f>
        <v>0</v>
      </c>
      <c r="I150" s="24">
        <f>COUNTIF('SATEMA_Cleaned Data'!FS:FS,"1")</f>
        <v>1</v>
      </c>
      <c r="J150" s="24">
        <f>COUNTIF('SATEMA_Cleaned Data'!FT:FT,"1")</f>
        <v>0</v>
      </c>
      <c r="K150" s="24">
        <f>COUNTIF('SATEMA_Cleaned Data'!FU:FU,"1")</f>
        <v>0</v>
      </c>
      <c r="L150" s="24">
        <f>COUNTIF('SATEMA_Cleaned Data'!FV:FV,"1")</f>
        <v>1</v>
      </c>
      <c r="M150" s="24">
        <f>COUNTIF('SATEMA_Cleaned Data'!FW:FW,"1")</f>
        <v>0</v>
      </c>
      <c r="N150" s="24">
        <f>COUNTIF('SATEMA_Cleaned Data'!FX:FX,"1")</f>
        <v>0</v>
      </c>
      <c r="O150" s="24">
        <f>COUNTIF('SATEMA_Cleaned Data'!FY:FY,"1")</f>
        <v>0</v>
      </c>
      <c r="P150" s="10"/>
      <c r="Q150" s="10"/>
      <c r="R150" s="10"/>
    </row>
    <row r="151" spans="1:26" ht="49" x14ac:dyDescent="0.3">
      <c r="A151" s="10"/>
      <c r="B151" s="53" t="s">
        <v>3255</v>
      </c>
      <c r="C151" s="7">
        <f>C150/$B$140</f>
        <v>0</v>
      </c>
      <c r="D151" s="7">
        <f t="shared" ref="D151:O151" si="15">D150/$B$140</f>
        <v>1</v>
      </c>
      <c r="E151" s="7">
        <f t="shared" si="15"/>
        <v>0</v>
      </c>
      <c r="F151" s="7">
        <f t="shared" si="15"/>
        <v>0</v>
      </c>
      <c r="G151" s="7">
        <f t="shared" si="15"/>
        <v>0</v>
      </c>
      <c r="H151" s="7">
        <f t="shared" si="15"/>
        <v>0</v>
      </c>
      <c r="I151" s="7">
        <f t="shared" si="15"/>
        <v>1</v>
      </c>
      <c r="J151" s="7">
        <f t="shared" si="15"/>
        <v>0</v>
      </c>
      <c r="K151" s="7">
        <f t="shared" si="15"/>
        <v>0</v>
      </c>
      <c r="L151" s="7">
        <f t="shared" si="15"/>
        <v>1</v>
      </c>
      <c r="M151" s="7">
        <f t="shared" si="15"/>
        <v>0</v>
      </c>
      <c r="N151" s="7">
        <f t="shared" si="15"/>
        <v>0</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COUNTIF('SATEMA_Cleaned Data'!GA:GA,"OUI")</f>
        <v>0</v>
      </c>
      <c r="D155" s="24">
        <f>COUNTIF('SATEMA_Cleaned Data'!GA:GA,"non")</f>
        <v>1</v>
      </c>
      <c r="E155" s="111">
        <f>SUM(C155:D155)</f>
        <v>1</v>
      </c>
      <c r="F155" s="10"/>
      <c r="G155" s="10"/>
      <c r="H155" s="10"/>
      <c r="I155" s="10"/>
      <c r="J155" s="10"/>
      <c r="K155" s="10"/>
      <c r="L155" s="10"/>
      <c r="M155" s="10"/>
      <c r="N155" s="10"/>
      <c r="O155" s="10"/>
      <c r="P155" s="10"/>
      <c r="Q155" s="10"/>
      <c r="R155" s="10"/>
    </row>
    <row r="156" spans="1:26" ht="49" x14ac:dyDescent="0.3">
      <c r="A156" s="10"/>
      <c r="B156" s="53" t="s">
        <v>3255</v>
      </c>
      <c r="C156" s="7">
        <f>(C155/$B$140)</f>
        <v>0</v>
      </c>
      <c r="D156" s="7">
        <f>(D155/$B$140)</f>
        <v>1</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COUNTIF('SATEMA_Cleaned Data'!GC:GC,"1")</f>
        <v>1</v>
      </c>
      <c r="E160" s="4">
        <f>COUNTIF('SATEMA_Cleaned Data'!GD:GD,"1")</f>
        <v>0</v>
      </c>
      <c r="F160" s="4">
        <f>COUNTIF('SATEMA_Cleaned Data'!GE:GE,"1")</f>
        <v>0</v>
      </c>
      <c r="G160" s="4">
        <f>COUNTIF('SATEMA_Cleaned Data'!GF:GF,"1")</f>
        <v>0</v>
      </c>
      <c r="H160" s="4">
        <f>COUNTIF('SATEMA_Cleaned Data'!GG:GG,"1")</f>
        <v>0</v>
      </c>
      <c r="I160" s="10"/>
      <c r="J160" s="10"/>
      <c r="K160" s="10"/>
      <c r="L160" s="10"/>
      <c r="M160" s="10"/>
      <c r="N160" s="10"/>
      <c r="O160" s="10"/>
      <c r="P160" s="10"/>
      <c r="Q160" s="10"/>
      <c r="R160" s="10"/>
    </row>
    <row r="161" spans="1:13" s="10" customFormat="1" ht="49" x14ac:dyDescent="0.3">
      <c r="C161" s="53" t="s">
        <v>3256</v>
      </c>
      <c r="D161" s="7">
        <f>D160/$D$155</f>
        <v>1</v>
      </c>
      <c r="E161" s="7">
        <f t="shared" ref="E161:H161" si="16">E160/$D$155</f>
        <v>0</v>
      </c>
      <c r="F161" s="7">
        <f t="shared" si="16"/>
        <v>0</v>
      </c>
      <c r="G161" s="7">
        <f t="shared" si="16"/>
        <v>0</v>
      </c>
      <c r="H161" s="7">
        <f t="shared" si="16"/>
        <v>0</v>
      </c>
    </row>
    <row r="162" spans="1:13" s="10" customFormat="1" x14ac:dyDescent="0.3"/>
    <row r="163" spans="1:13" s="10" customFormat="1" x14ac:dyDescent="0.3"/>
    <row r="164" spans="1:13" s="10" customFormat="1" ht="15.5" x14ac:dyDescent="0.35">
      <c r="A164" s="9" t="s">
        <v>1301</v>
      </c>
      <c r="C164" s="103" t="s">
        <v>3245</v>
      </c>
    </row>
    <row r="165" spans="1:13" s="10" customFormat="1" x14ac:dyDescent="0.3"/>
    <row r="166" spans="1:13" s="10" customFormat="1"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row>
    <row r="167" spans="1:13" s="10" customFormat="1" x14ac:dyDescent="0.3">
      <c r="A167" s="24">
        <f>COUNTIF('SATEMA_Cleaned Data'!GJ:GJ,"1")</f>
        <v>5</v>
      </c>
      <c r="B167" s="24">
        <f>COUNTIF('SATEMA_Cleaned Data'!GK:GK,"1")</f>
        <v>5</v>
      </c>
      <c r="C167" s="24">
        <f>COUNTIF('SATEMA_Cleaned Data'!GL:GL,"1")</f>
        <v>2</v>
      </c>
      <c r="D167" s="24">
        <f>COUNTIF('SATEMA_Cleaned Data'!GM:GM,"1")</f>
        <v>3</v>
      </c>
      <c r="E167" s="24">
        <f>COUNTIF('SATEMA_Cleaned Data'!GN:GN,"1")</f>
        <v>2</v>
      </c>
      <c r="F167" s="24">
        <f>COUNTIF('SATEMA_Cleaned Data'!GO:GO,"1")</f>
        <v>3</v>
      </c>
      <c r="G167" s="24">
        <f>COUNTIF('SATEMA_Cleaned Data'!GP:GP,"1")</f>
        <v>7</v>
      </c>
      <c r="H167" s="24">
        <f>COUNTIF('SATEMA_Cleaned Data'!GQ:GQ,"1")</f>
        <v>5</v>
      </c>
      <c r="I167" s="24">
        <f>COUNTIF('SATEMA_Cleaned Data'!GR:GR,"1")</f>
        <v>2</v>
      </c>
      <c r="J167" s="24">
        <f>COUNTIF('SATEMA_Cleaned Data'!GS:GS,"1")</f>
        <v>2</v>
      </c>
      <c r="K167" s="24">
        <f>COUNTIF('SATEMA_Cleaned Data'!GT:GT,"1")</f>
        <v>5</v>
      </c>
      <c r="L167" s="24">
        <f>COUNTIF('SATEMA_Cleaned Data'!GU:GU,"1")</f>
        <v>0</v>
      </c>
      <c r="M167" s="24">
        <f>COUNTIF('SATEMA_Cleaned Data'!GV:GV,"1")</f>
        <v>0</v>
      </c>
    </row>
    <row r="168" spans="1:13" s="10" customFormat="1" x14ac:dyDescent="0.3"/>
    <row r="169" spans="1:13" s="10" customFormat="1" x14ac:dyDescent="0.3"/>
    <row r="170" spans="1:13" s="10" customFormat="1" x14ac:dyDescent="0.3"/>
    <row r="171" spans="1:13" s="10" customFormat="1" x14ac:dyDescent="0.3"/>
    <row r="172" spans="1:13" s="10" customFormat="1" x14ac:dyDescent="0.3"/>
    <row r="173" spans="1:13" s="10" customFormat="1" x14ac:dyDescent="0.3"/>
    <row r="174" spans="1:13" s="10" customFormat="1" x14ac:dyDescent="0.3"/>
    <row r="175" spans="1:13" s="10" customFormat="1" x14ac:dyDescent="0.3"/>
    <row r="176" spans="1:13"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pans="1:10" s="10" customFormat="1" x14ac:dyDescent="0.3"/>
    <row r="210" spans="1:10" s="10" customFormat="1" x14ac:dyDescent="0.3"/>
    <row r="211" spans="1:10" s="10" customFormat="1" x14ac:dyDescent="0.3"/>
    <row r="212" spans="1:10" s="10" customFormat="1" x14ac:dyDescent="0.3"/>
    <row r="213" spans="1:10" s="10" customFormat="1" x14ac:dyDescent="0.3"/>
    <row r="214" spans="1:10" s="10" customFormat="1" x14ac:dyDescent="0.3"/>
    <row r="215" spans="1:10" s="10" customFormat="1" x14ac:dyDescent="0.3"/>
    <row r="216" spans="1:10" s="10" customFormat="1" x14ac:dyDescent="0.3"/>
    <row r="217" spans="1:10" s="10" customFormat="1" x14ac:dyDescent="0.3"/>
    <row r="218" spans="1:10" s="10" customFormat="1" x14ac:dyDescent="0.3"/>
    <row r="219" spans="1:10" s="10" customFormat="1" x14ac:dyDescent="0.3"/>
    <row r="220" spans="1:10" s="10" customFormat="1" x14ac:dyDescent="0.3"/>
    <row r="221" spans="1:10" s="10" customFormat="1" x14ac:dyDescent="0.3"/>
    <row r="222" spans="1:10" s="10" customFormat="1" x14ac:dyDescent="0.3"/>
    <row r="223" spans="1:10" s="10" customFormat="1" x14ac:dyDescent="0.3">
      <c r="A223" s="1"/>
      <c r="B223" s="1"/>
      <c r="C223" s="1"/>
      <c r="D223" s="1"/>
      <c r="E223" s="1"/>
      <c r="F223" s="1"/>
      <c r="G223" s="1"/>
      <c r="H223" s="1"/>
      <c r="I223" s="1"/>
      <c r="J223" s="1"/>
    </row>
  </sheetData>
  <conditionalFormatting sqref="A132:L132">
    <cfRule type="colorScale" priority="36">
      <colorScale>
        <cfvo type="min"/>
        <cfvo type="max"/>
        <color theme="6" tint="0.79998168889431442"/>
        <color theme="5" tint="0.39997558519241921"/>
      </colorScale>
    </cfRule>
  </conditionalFormatting>
  <conditionalFormatting sqref="A136:L136">
    <cfRule type="colorScale" priority="35">
      <colorScale>
        <cfvo type="min"/>
        <cfvo type="max"/>
        <color theme="6" tint="0.79998168889431442"/>
        <color theme="5" tint="0.39997558519241921"/>
      </colorScale>
    </cfRule>
  </conditionalFormatting>
  <conditionalFormatting sqref="C150:O150">
    <cfRule type="colorScale" priority="34">
      <colorScale>
        <cfvo type="min"/>
        <cfvo type="max"/>
        <color theme="6" tint="0.79998168889431442"/>
        <color theme="5" tint="0.39997558519241921"/>
      </colorScale>
    </cfRule>
  </conditionalFormatting>
  <conditionalFormatting sqref="D160:H160">
    <cfRule type="colorScale" priority="33">
      <colorScale>
        <cfvo type="min"/>
        <cfvo type="max"/>
        <color theme="6" tint="0.79998168889431442"/>
        <color theme="5" tint="0.39997558519241921"/>
      </colorScale>
    </cfRule>
  </conditionalFormatting>
  <conditionalFormatting sqref="A167:M167">
    <cfRule type="colorScale" priority="32">
      <colorScale>
        <cfvo type="min"/>
        <cfvo type="max"/>
        <color theme="6" tint="0.79998168889431442"/>
        <color theme="5" tint="0.39997558519241921"/>
      </colorScale>
    </cfRule>
  </conditionalFormatting>
  <conditionalFormatting sqref="B53:H53 A60:F60 D61:F61">
    <cfRule type="colorScale" priority="31">
      <colorScale>
        <cfvo type="min"/>
        <cfvo type="max"/>
        <color theme="6" tint="0.79998168889431442"/>
        <color theme="5" tint="0.39997558519241921"/>
      </colorScale>
    </cfRule>
  </conditionalFormatting>
  <conditionalFormatting sqref="B68:C68">
    <cfRule type="colorScale" priority="30">
      <colorScale>
        <cfvo type="min"/>
        <cfvo type="max"/>
        <color theme="6" tint="0.79998168889431442"/>
        <color theme="5" tint="0.39997558519241921"/>
      </colorScale>
    </cfRule>
  </conditionalFormatting>
  <conditionalFormatting sqref="C78:J78">
    <cfRule type="colorScale" priority="29">
      <colorScale>
        <cfvo type="min"/>
        <cfvo type="max"/>
        <color theme="6" tint="0.79998168889431442"/>
        <color theme="5" tint="0.39997558519241921"/>
      </colorScale>
    </cfRule>
  </conditionalFormatting>
  <conditionalFormatting sqref="B38:L38">
    <cfRule type="colorScale" priority="28">
      <colorScale>
        <cfvo type="min"/>
        <cfvo type="max"/>
        <color theme="6" tint="0.79998168889431442"/>
        <color theme="5" tint="0.39997558519241921"/>
      </colorScale>
    </cfRule>
  </conditionalFormatting>
  <conditionalFormatting sqref="B13:C13">
    <cfRule type="colorScale" priority="27">
      <colorScale>
        <cfvo type="min"/>
        <cfvo type="max"/>
        <color theme="6" tint="0.79998168889431442"/>
        <color theme="5" tint="0.39997558519241921"/>
      </colorScale>
    </cfRule>
  </conditionalFormatting>
  <conditionalFormatting sqref="B7:G7">
    <cfRule type="colorScale" priority="26">
      <colorScale>
        <cfvo type="min"/>
        <cfvo type="max"/>
        <color theme="6" tint="0.79998168889431442"/>
        <color theme="5" tint="0.39997558519241921"/>
      </colorScale>
    </cfRule>
  </conditionalFormatting>
  <conditionalFormatting sqref="B90:D90">
    <cfRule type="colorScale" priority="25">
      <colorScale>
        <cfvo type="min"/>
        <cfvo type="max"/>
        <color theme="6" tint="0.79998168889431442"/>
        <color theme="5" tint="0.39997558519241921"/>
      </colorScale>
    </cfRule>
  </conditionalFormatting>
  <conditionalFormatting sqref="D13">
    <cfRule type="colorScale" priority="24">
      <colorScale>
        <cfvo type="min"/>
        <cfvo type="max"/>
        <color theme="6" tint="0.79998168889431442"/>
        <color theme="5" tint="0.39997558519241921"/>
      </colorScale>
    </cfRule>
  </conditionalFormatting>
  <conditionalFormatting sqref="D18:F18">
    <cfRule type="colorScale" priority="23">
      <colorScale>
        <cfvo type="min"/>
        <cfvo type="max"/>
        <color theme="6" tint="0.79998168889431442"/>
        <color theme="5" tint="0.39997558519241921"/>
      </colorScale>
    </cfRule>
  </conditionalFormatting>
  <conditionalFormatting sqref="B58:F58">
    <cfRule type="colorScale" priority="22">
      <colorScale>
        <cfvo type="min"/>
        <cfvo type="max"/>
        <color theme="6" tint="0.79998168889431442"/>
        <color theme="5" tint="0.39997558519241921"/>
      </colorScale>
    </cfRule>
  </conditionalFormatting>
  <conditionalFormatting sqref="A44:A45">
    <cfRule type="duplicateValues" dxfId="8" priority="21"/>
  </conditionalFormatting>
  <conditionalFormatting sqref="A52:A53">
    <cfRule type="duplicateValues" dxfId="7"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6"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D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6">
      <colorScale>
        <cfvo type="min"/>
        <cfvo type="max"/>
        <color theme="6" tint="0.79998168889431442"/>
        <color theme="5" tint="0.39997558519241921"/>
      </colorScale>
    </cfRule>
  </conditionalFormatting>
  <conditionalFormatting sqref="D33:H33">
    <cfRule type="colorScale" priority="5">
      <colorScale>
        <cfvo type="min"/>
        <cfvo type="max"/>
        <color theme="6" tint="0.79998168889431442"/>
        <color theme="5" tint="0.39997558519241921"/>
      </colorScale>
    </cfRule>
  </conditionalFormatting>
  <conditionalFormatting sqref="H7">
    <cfRule type="colorScale" priority="4">
      <colorScale>
        <cfvo type="min"/>
        <cfvo type="max"/>
        <color theme="6" tint="0.79998168889431442"/>
        <color theme="5" tint="0.39997558519241921"/>
      </colorScale>
    </cfRule>
  </conditionalFormatting>
  <conditionalFormatting sqref="B63:H63">
    <cfRule type="colorScale" priority="3">
      <colorScale>
        <cfvo type="min"/>
        <cfvo type="max"/>
        <color theme="6" tint="0.79998168889431442"/>
        <color theme="5" tint="0.39997558519241921"/>
      </colorScale>
    </cfRule>
  </conditionalFormatting>
  <conditionalFormatting sqref="B127:F127">
    <cfRule type="colorScale" priority="2">
      <colorScale>
        <cfvo type="min"/>
        <cfvo type="max"/>
        <color theme="6" tint="0.79998168889431442"/>
        <color theme="5" tint="0.39997558519241921"/>
      </colorScale>
    </cfRule>
  </conditionalFormatting>
  <conditionalFormatting sqref="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Z303"/>
  <sheetViews>
    <sheetView zoomScale="90" zoomScaleNormal="90" workbookViewId="0">
      <selection activeCell="J152" sqref="J152"/>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8.90625" style="10" customWidth="1"/>
    <col min="9" max="9" width="11.7265625" style="10" customWidth="1"/>
    <col min="10" max="10" width="12.453125" style="10" customWidth="1"/>
    <col min="11" max="11" width="12.36328125" style="10" customWidth="1"/>
    <col min="12" max="12" width="15" style="10" customWidth="1"/>
    <col min="13" max="16384" width="8.81640625" style="10"/>
  </cols>
  <sheetData>
    <row r="2" spans="1:13" ht="15.5" x14ac:dyDescent="0.35">
      <c r="A2" s="9" t="s">
        <v>1294</v>
      </c>
    </row>
    <row r="3" spans="1:13" ht="15.5" x14ac:dyDescent="0.35">
      <c r="A3" s="29" t="s">
        <v>1408</v>
      </c>
      <c r="B3" s="83"/>
      <c r="C3" s="84" t="str">
        <f>IF(COUNTIF('SATEMA_Cleaned Data'!OK:OK,"hopital_district")=1,"OUI","NON")</f>
        <v>NON</v>
      </c>
    </row>
    <row r="4" spans="1:13" ht="34" customHeight="1" x14ac:dyDescent="0.3">
      <c r="A4" s="155" t="s">
        <v>3318</v>
      </c>
      <c r="B4" s="155"/>
      <c r="C4" s="73">
        <f>COUNTIFS('SATEMA_Cleaned Data'!N:N,"sante",'SATEMA_Cleaned Data'!J:J,"SATEMA")</f>
        <v>4</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COUNTIF('SATEMA_Cleaned Data'!ON:ON,"oui")</f>
        <v>4</v>
      </c>
      <c r="C9" s="24">
        <f>COUNTIF('SATEMA_Cleaned Data'!ON:ON,"non")</f>
        <v>0</v>
      </c>
      <c r="D9" s="24">
        <f>COUNTIF('SATEMA_Cleaned Data'!ON:ON,"partiel")</f>
        <v>0</v>
      </c>
      <c r="E9" s="52">
        <f>SUM(B9+D9)</f>
        <v>4</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6" t="s">
        <v>2033</v>
      </c>
      <c r="D13" s="6" t="s">
        <v>1938</v>
      </c>
      <c r="E13" s="6" t="s">
        <v>2034</v>
      </c>
      <c r="F13" s="6" t="s">
        <v>1939</v>
      </c>
      <c r="G13" s="6" t="s">
        <v>1940</v>
      </c>
      <c r="H13" s="6" t="s">
        <v>2035</v>
      </c>
      <c r="I13" s="6" t="s">
        <v>2036</v>
      </c>
      <c r="J13" s="6" t="s">
        <v>1942</v>
      </c>
      <c r="K13" s="6" t="s">
        <v>1943</v>
      </c>
      <c r="L13" s="6" t="s">
        <v>1905</v>
      </c>
      <c r="M13" s="6" t="s">
        <v>1220</v>
      </c>
    </row>
    <row r="14" spans="1:13" x14ac:dyDescent="0.3">
      <c r="B14" s="3" t="s">
        <v>1207</v>
      </c>
      <c r="C14" s="3">
        <f>COUNTIF('SATEMA_Cleaned Data'!OS:OS,"1")</f>
        <v>0</v>
      </c>
      <c r="D14" s="3">
        <f>COUNTIF('SATEMA_Cleaned Data'!OT:OT,"1")</f>
        <v>0</v>
      </c>
      <c r="E14" s="3">
        <f>COUNTIF('SATEMA_Cleaned Data'!PE:PE,"1")</f>
        <v>0</v>
      </c>
      <c r="F14" s="3">
        <f>COUNTIF('SATEMA_Cleaned Data'!PF:PF,"1")</f>
        <v>0</v>
      </c>
      <c r="G14" s="3">
        <f>COUNTIF('SATEMA_Cleaned Data'!PG:PG,"1")</f>
        <v>0</v>
      </c>
      <c r="H14" s="3">
        <f>COUNTIF('SATEMA_Cleaned Data'!OW:OW,"1")</f>
        <v>0</v>
      </c>
      <c r="I14" s="3">
        <f>COUNTIF('SATEMA_Cleaned Data'!PH:PH,"1")</f>
        <v>0</v>
      </c>
      <c r="J14" s="3">
        <f>COUNTIF('SATEMA_Cleaned Data'!PB:PB,"1")</f>
        <v>0</v>
      </c>
      <c r="K14" s="3">
        <f>COUNTIF('SATEMA_Cleaned Data'!PI:PI,"1")</f>
        <v>0</v>
      </c>
      <c r="L14" s="3">
        <f>COUNTIF('SATEMA_Cleaned Data'!PC:PC,"1")</f>
        <v>0</v>
      </c>
      <c r="M14" s="3">
        <f>COUNTIF('SATEMA_Cleaned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COUNTIF('SATEMA_Cleaned Data'!PK:PK,"moins_six_mois")</f>
        <v>0</v>
      </c>
      <c r="D19" s="3">
        <f>COUNTIF('SATEMA_Cleaned Data'!PK:PK,"six_mois_un_an ")</f>
        <v>0</v>
      </c>
      <c r="E19" s="3">
        <f>COUNTIF('SATEMA_Cleaned Data'!PK:PK,"un_an_trois_ans")</f>
        <v>0</v>
      </c>
      <c r="F19" s="3">
        <f>COUNTIF('SATEMA_Cleaned Data'!PK:PK,"plus_trois_ans")</f>
        <v>0</v>
      </c>
      <c r="G19" s="3">
        <f>COUNTIF('SATEMA_Cleaned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6" t="s">
        <v>1944</v>
      </c>
      <c r="D23" s="6" t="s">
        <v>2037</v>
      </c>
      <c r="E23" s="6" t="s">
        <v>2038</v>
      </c>
      <c r="F23" s="6" t="s">
        <v>2039</v>
      </c>
      <c r="G23" s="6" t="s">
        <v>2040</v>
      </c>
      <c r="H23" s="6" t="s">
        <v>2041</v>
      </c>
      <c r="I23" s="6" t="s">
        <v>2042</v>
      </c>
      <c r="J23" s="6" t="s">
        <v>2043</v>
      </c>
      <c r="K23" s="6" t="s">
        <v>1905</v>
      </c>
      <c r="L23" s="6" t="s">
        <v>1220</v>
      </c>
    </row>
    <row r="24" spans="1:26" x14ac:dyDescent="0.3">
      <c r="B24" s="24" t="s">
        <v>1207</v>
      </c>
      <c r="C24" s="24">
        <f>COUNTIF('SATEMA_Cleaned Data'!OO:OO,"infra_endommagee")</f>
        <v>0</v>
      </c>
      <c r="D24" s="24">
        <f>COUNTIF('SATEMA_Cleaned Data'!OO:OO,"manque_mobilier")</f>
        <v>0</v>
      </c>
      <c r="E24" s="24">
        <f>COUNTIF('SATEMA_Cleaned Data'!OO:OO,"faibles_capacites_accueil")</f>
        <v>0</v>
      </c>
      <c r="F24" s="24">
        <f>COUNTIF('SATEMA_Cleaned Data'!OO:OO,"pbs_appro_eau_elec")</f>
        <v>0</v>
      </c>
      <c r="G24" s="24">
        <f>COUNTIF('SATEMA_Cleaned Data'!OO:OO,"pbs_fin_fonctionnement ")</f>
        <v>0</v>
      </c>
      <c r="H24" s="24">
        <f>COUNTIF('SATEMA_Cleaned Data'!OO:OO,"pbs_fin_fonctionnement_maintenance")</f>
        <v>0</v>
      </c>
      <c r="I24" s="24">
        <f>COUNTIF('SATEMA_Cleaned Data'!OO:OO,"pbs_appro_medicaments")</f>
        <v>0</v>
      </c>
      <c r="J24" s="24">
        <f>COUNTIF('SATEMA_Cleaned Data'!OO:OO,"pbs_personnels_qualifies")</f>
        <v>0</v>
      </c>
      <c r="K24" s="24">
        <f>COUNTIF('SATEMA_Cleaned Data'!OO:OO,"nsp")</f>
        <v>0</v>
      </c>
      <c r="L24" s="24">
        <f>COUNTIF('SATEMA_Cleaned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COUNTIF('SATEMA_Cleaned Data'!OQ:OQ,"moins_six_mois")</f>
        <v>0</v>
      </c>
      <c r="D29" s="3">
        <f>COUNTIF('SATEMA_Cleaned Data'!OQ:OQ,"six_mois_un_an ")</f>
        <v>0</v>
      </c>
      <c r="E29" s="3">
        <f>COUNTIF('SATEMA_Cleaned Data'!OQ:OQ,"un_an_trois_ans")</f>
        <v>0</v>
      </c>
      <c r="F29" s="3">
        <f>COUNTIF('SATEMA_Cleaned Data'!OQ:OQ,"plus_trois_ans")</f>
        <v>0</v>
      </c>
      <c r="G29" s="3">
        <f>COUNTIF('SATEMA_Cleaned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COUNTIF('SATEMA_Cleaned Data'!PX:PX,"oui")</f>
        <v>1</v>
      </c>
      <c r="C34" s="3">
        <f>COUNTIF('SATEMA_Cleaned Data'!PX:PX,"non")</f>
        <v>3</v>
      </c>
      <c r="D34" s="111">
        <f>SUM(B34:C34)</f>
        <v>4</v>
      </c>
    </row>
    <row r="35" spans="1:10" s="36" customFormat="1" ht="37" x14ac:dyDescent="0.3">
      <c r="A35" s="54" t="s">
        <v>3290</v>
      </c>
      <c r="B35" s="94">
        <f>(B34/$E$9)</f>
        <v>0.25</v>
      </c>
      <c r="C35" s="94">
        <f>(C34/$E$9)</f>
        <v>0.75</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COUNTIF('SATEMA_Cleaned Data'!PY:PY,"severes")</f>
        <v>1</v>
      </c>
      <c r="D39" s="77">
        <f>COUNTIF('SATEMA_Cleaned Data'!PY:PY,"moderes")</f>
        <v>0</v>
      </c>
      <c r="E39" s="77">
        <f>COUNTIF('SATEMA_Cleaned Data'!PY:PY,"faibles")</f>
        <v>0</v>
      </c>
      <c r="F39" s="111">
        <f>SUM(C39:E39)</f>
        <v>1</v>
      </c>
      <c r="G39" s="74"/>
    </row>
    <row r="40" spans="1:10" ht="47" customHeight="1" x14ac:dyDescent="0.3">
      <c r="B40" s="53" t="s">
        <v>3294</v>
      </c>
      <c r="C40" s="7">
        <f>C39/$B$34</f>
        <v>1</v>
      </c>
      <c r="D40" s="7">
        <f t="shared" ref="D40:E40" si="3">D39/$C$4</f>
        <v>0</v>
      </c>
      <c r="E40" s="7">
        <f t="shared" si="3"/>
        <v>0</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COUNTIF('SATEMA_Cleaned Data'!SO:SO,"1")</f>
        <v>1</v>
      </c>
      <c r="C44" s="38">
        <f>COUNTIF('SATEMA_Cleaned Data'!SP:SP,"1")</f>
        <v>0</v>
      </c>
      <c r="D44" s="38">
        <f>COUNTIF('SATEMA_Cleaned Data'!SQ:SQ,"1")</f>
        <v>0</v>
      </c>
      <c r="E44" s="38">
        <f>COUNTIF('SATEMA_Cleaned Data'!SR:SR,"1")</f>
        <v>0</v>
      </c>
      <c r="F44" s="38">
        <f>COUNTIF('SATEMA_Cleaned Data'!SS:SS,"1")</f>
        <v>0</v>
      </c>
      <c r="G44" s="38">
        <f>COUNTIF('SATEMA_Cleaned Data'!ST:ST,"1")</f>
        <v>4</v>
      </c>
      <c r="H44" s="38">
        <f>COUNTIF('SATEMA_Cleaned Data'!SZ:SZ,"1")</f>
        <v>0</v>
      </c>
      <c r="I44" s="38">
        <f>COUNTIF('SATEMA_Cleaned Data'!SV:SV,"1")</f>
        <v>0</v>
      </c>
      <c r="J44" s="38">
        <f>COUNTIF('SATEMA_Cleaned Data'!SW:SW,"1")</f>
        <v>0</v>
      </c>
    </row>
    <row r="45" spans="1:10" x14ac:dyDescent="0.3">
      <c r="A45" s="3" t="s">
        <v>1221</v>
      </c>
      <c r="B45" s="7">
        <f>B44/$B$9</f>
        <v>0.25</v>
      </c>
      <c r="C45" s="7">
        <f t="shared" ref="C45:J45" si="4">C44/$B$9</f>
        <v>0</v>
      </c>
      <c r="D45" s="7">
        <f t="shared" si="4"/>
        <v>0</v>
      </c>
      <c r="E45" s="7">
        <f t="shared" si="4"/>
        <v>0</v>
      </c>
      <c r="F45" s="7">
        <f t="shared" si="4"/>
        <v>0</v>
      </c>
      <c r="G45" s="7">
        <f t="shared" si="4"/>
        <v>1</v>
      </c>
      <c r="H45" s="7">
        <f t="shared" si="4"/>
        <v>0</v>
      </c>
      <c r="I45" s="7">
        <f t="shared" si="4"/>
        <v>0</v>
      </c>
      <c r="J45" s="7">
        <f t="shared" si="4"/>
        <v>0</v>
      </c>
    </row>
    <row r="46" spans="1:10" x14ac:dyDescent="0.3">
      <c r="A46" s="14"/>
      <c r="B46" s="15"/>
      <c r="C46" s="15"/>
      <c r="D46" s="15"/>
      <c r="J46" s="74"/>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COUNTIF('SATEMA_Cleaned Data'!PL:PL,"oui")</f>
        <v>1</v>
      </c>
      <c r="C49" s="3">
        <f>COUNTIF('SATEMA_Cleaned Data'!PL:PL,"non_non_fonctionnelles")</f>
        <v>0</v>
      </c>
      <c r="D49" s="3">
        <f>COUNTIF('SATEMA_Cleaned Data'!PL:PL,"non_aucun")</f>
        <v>3</v>
      </c>
      <c r="E49" s="111">
        <f>SUM(B49:D49)</f>
        <v>4</v>
      </c>
    </row>
    <row r="50" spans="1:6" s="36" customFormat="1" ht="37" x14ac:dyDescent="0.3">
      <c r="A50" s="54" t="s">
        <v>3290</v>
      </c>
      <c r="B50" s="94">
        <f>(B49/$E$9)</f>
        <v>0.25</v>
      </c>
      <c r="C50" s="94">
        <f t="shared" ref="C50:D50" si="5">(C49/$E$9)</f>
        <v>0</v>
      </c>
      <c r="D50" s="94">
        <f t="shared" si="5"/>
        <v>0.75</v>
      </c>
      <c r="E50" s="116">
        <f>SUM(B50:D50)</f>
        <v>1</v>
      </c>
    </row>
    <row r="52" spans="1:6" x14ac:dyDescent="0.3">
      <c r="B52" s="18" t="s">
        <v>1287</v>
      </c>
    </row>
    <row r="53" spans="1:6" x14ac:dyDescent="0.3">
      <c r="B53" s="21">
        <f>AVERAGE('SATEMA_Cleaned Data'!PM:PM)</f>
        <v>4</v>
      </c>
    </row>
    <row r="54" spans="1:6" x14ac:dyDescent="0.3">
      <c r="B54" s="21"/>
      <c r="F54" s="74"/>
    </row>
    <row r="55" spans="1:6" x14ac:dyDescent="0.3">
      <c r="B55" s="18" t="s">
        <v>1414</v>
      </c>
    </row>
    <row r="56" spans="1:6" x14ac:dyDescent="0.3">
      <c r="B56" s="3"/>
      <c r="C56" s="11" t="s">
        <v>1210</v>
      </c>
      <c r="D56" s="11" t="s">
        <v>1209</v>
      </c>
      <c r="E56" s="110" t="s">
        <v>1206</v>
      </c>
    </row>
    <row r="57" spans="1:6" x14ac:dyDescent="0.3">
      <c r="B57" s="3" t="s">
        <v>1207</v>
      </c>
      <c r="C57" s="3">
        <f>COUNTIF('SATEMA_Cleaned Data'!PN:PN,"oui")</f>
        <v>1</v>
      </c>
      <c r="D57" s="3">
        <f>COUNTIF('SATEMA_Cleaned Data'!PN:PN,"non")</f>
        <v>0</v>
      </c>
      <c r="E57" s="111">
        <f>SUM(C57:D57)</f>
        <v>1</v>
      </c>
    </row>
    <row r="58" spans="1:6" ht="37.5" x14ac:dyDescent="0.3">
      <c r="B58" s="53" t="s">
        <v>3296</v>
      </c>
      <c r="C58" s="7">
        <f>(C57/$B$49)</f>
        <v>1</v>
      </c>
      <c r="D58" s="7">
        <f>(D57/$B$49)</f>
        <v>0</v>
      </c>
      <c r="E58" s="116">
        <f>SUM(C58:D58)</f>
        <v>1</v>
      </c>
    </row>
    <row r="60" spans="1:6" x14ac:dyDescent="0.3">
      <c r="C60" s="18" t="s">
        <v>1416</v>
      </c>
      <c r="D60" s="18"/>
      <c r="E60" s="21">
        <f>AVERAGE('SATEMA_Cleaned Data'!PO:PO)</f>
        <v>2</v>
      </c>
      <c r="F60" s="74"/>
    </row>
    <row r="61" spans="1:6" x14ac:dyDescent="0.3">
      <c r="C61" s="18"/>
      <c r="D61" s="18"/>
      <c r="F61" s="74"/>
    </row>
    <row r="62" spans="1:6" x14ac:dyDescent="0.3">
      <c r="C62" s="18" t="s">
        <v>1415</v>
      </c>
      <c r="D62" s="18"/>
      <c r="E62" s="21">
        <f>AVERAGE('SATEMA_Cleaned Data'!PP:PP)</f>
        <v>2</v>
      </c>
      <c r="F62" s="74"/>
    </row>
    <row r="64" spans="1:6" x14ac:dyDescent="0.3">
      <c r="B64" s="18" t="s">
        <v>1417</v>
      </c>
    </row>
    <row r="65" spans="1:8" x14ac:dyDescent="0.3">
      <c r="B65" s="3"/>
      <c r="C65" s="11" t="s">
        <v>1210</v>
      </c>
      <c r="D65" s="11" t="s">
        <v>1209</v>
      </c>
      <c r="E65" s="110" t="s">
        <v>1206</v>
      </c>
    </row>
    <row r="66" spans="1:8" x14ac:dyDescent="0.3">
      <c r="B66" s="3" t="s">
        <v>1207</v>
      </c>
      <c r="C66" s="3">
        <f>COUNTIF('SATEMA_Cleaned Data'!PQ:PQ,"oui")</f>
        <v>0</v>
      </c>
      <c r="D66" s="3">
        <f>COUNTIF('SATEMA_Cleaned Data'!PQ:PQ,"non")</f>
        <v>1</v>
      </c>
      <c r="E66" s="111">
        <f>SUM(C66:D66)</f>
        <v>1</v>
      </c>
    </row>
    <row r="67" spans="1:8" ht="37.5" x14ac:dyDescent="0.3">
      <c r="B67" s="53" t="s">
        <v>3296</v>
      </c>
      <c r="C67" s="7">
        <f>(C66/$B$49)</f>
        <v>0</v>
      </c>
      <c r="D67" s="7">
        <f>(D66/$B$49)</f>
        <v>1</v>
      </c>
      <c r="E67" s="116">
        <f>SUM(C67:D67)</f>
        <v>1</v>
      </c>
    </row>
    <row r="69" spans="1:8" ht="15.5" x14ac:dyDescent="0.35">
      <c r="A69" s="29" t="s">
        <v>1418</v>
      </c>
    </row>
    <row r="70" spans="1:8" x14ac:dyDescent="0.3">
      <c r="A70" s="3"/>
      <c r="B70" s="8" t="s">
        <v>1210</v>
      </c>
      <c r="C70" s="8" t="s">
        <v>1209</v>
      </c>
      <c r="D70" s="110" t="s">
        <v>1206</v>
      </c>
    </row>
    <row r="71" spans="1:8" x14ac:dyDescent="0.3">
      <c r="A71" s="3" t="s">
        <v>1207</v>
      </c>
      <c r="B71" s="3">
        <f>COUNTIF('SATEMA_Cleaned Data'!PR:PR,"oui")</f>
        <v>0</v>
      </c>
      <c r="C71" s="3">
        <f>COUNTIF('SATEMA_Cleaned Data'!PR:PR,"non")</f>
        <v>4</v>
      </c>
      <c r="D71" s="111">
        <f>SUM(B71:C71)</f>
        <v>4</v>
      </c>
    </row>
    <row r="72" spans="1:8" s="36" customFormat="1" ht="37" x14ac:dyDescent="0.3">
      <c r="A72" s="54" t="s">
        <v>3290</v>
      </c>
      <c r="B72" s="94">
        <f>(B71/$E$9)</f>
        <v>0</v>
      </c>
      <c r="C72" s="94">
        <f>(C71/$E$9)</f>
        <v>1</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COUNTIF('SATEMA_Cleaned Data'!PS:PS,"acces_direct")</f>
        <v>0</v>
      </c>
      <c r="D76" s="3">
        <f>COUNTIF('SATEMA_Cleaned Data'!PS:PS,"acces_communautaire")</f>
        <v>0</v>
      </c>
      <c r="E76" s="3">
        <f>COUNTIF('SATEMA_Cleaned Data'!PS:PS,"camion")</f>
        <v>0</v>
      </c>
      <c r="F76" s="3">
        <f>COUNTIF('SATEMA_Cleaned Data'!PS:PS,"nsp")</f>
        <v>0</v>
      </c>
      <c r="G76" s="3">
        <f>COUNTIF('SATEMA_Cleaned Data'!PS:PS,"autre")</f>
        <v>0</v>
      </c>
      <c r="H76" s="111">
        <f>SUM(C76:G76)</f>
        <v>0</v>
      </c>
    </row>
    <row r="77" spans="1:8" ht="48.5" x14ac:dyDescent="0.3">
      <c r="B77" s="54" t="s">
        <v>3297</v>
      </c>
      <c r="C77" s="94" t="e">
        <f>C76/$B$71</f>
        <v>#DIV/0!</v>
      </c>
      <c r="D77" s="94" t="e">
        <f t="shared" ref="D77:G77" si="6">D76/$B$71</f>
        <v>#DIV/0!</v>
      </c>
      <c r="E77" s="94" t="e">
        <f t="shared" si="6"/>
        <v>#DIV/0!</v>
      </c>
      <c r="F77" s="94" t="e">
        <f t="shared" si="6"/>
        <v>#DIV/0!</v>
      </c>
      <c r="G77" s="94" t="e">
        <f t="shared" si="6"/>
        <v>#DIV/0!</v>
      </c>
      <c r="H77" s="116" t="e">
        <f>SUM(C77:G77)</f>
        <v>#DIV/0!</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COUNTIF('SATEMA_Cleaned Data'!PU:PU,"oui")</f>
        <v>3</v>
      </c>
      <c r="C81" s="3">
        <f>COUNTIF('SATEMA_Cleaned Data'!PU:PU,"non")</f>
        <v>1</v>
      </c>
      <c r="D81" s="111">
        <f>SUM(B81:C81)</f>
        <v>4</v>
      </c>
    </row>
    <row r="82" spans="1:14" s="36" customFormat="1" ht="37" x14ac:dyDescent="0.3">
      <c r="A82" s="54" t="s">
        <v>3290</v>
      </c>
      <c r="B82" s="94">
        <f>(B81/$E$9)</f>
        <v>0.75</v>
      </c>
      <c r="C82" s="94">
        <f>(C81/$E$9)</f>
        <v>0.25</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COUNTIF('SATEMA_Cleaned Data'!PV:PV,"oui")</f>
        <v>0</v>
      </c>
      <c r="D86" s="3">
        <f>COUNTIF('SATEMA_Cleaned Data'!PV:PV,"non_panne")</f>
        <v>3</v>
      </c>
      <c r="E86" s="3">
        <f>COUNTIF('SATEMA_Cleaned Data'!PV:PV,"non_essence")</f>
        <v>0</v>
      </c>
      <c r="F86" s="3">
        <f>COUNTIF('SATEMA_Cleaned Data'!PV:PV,"non_equipement")</f>
        <v>0</v>
      </c>
      <c r="G86" s="111">
        <f>SUM(C86:F86)</f>
        <v>3</v>
      </c>
    </row>
    <row r="87" spans="1:14" ht="37" x14ac:dyDescent="0.3">
      <c r="B87" s="54" t="s">
        <v>3298</v>
      </c>
      <c r="C87" s="94">
        <f>(C86/$B$81)</f>
        <v>0</v>
      </c>
      <c r="D87" s="94">
        <f t="shared" ref="D87:F87" si="7">(D86/$B$81)</f>
        <v>1</v>
      </c>
      <c r="E87" s="94">
        <f t="shared" si="7"/>
        <v>0</v>
      </c>
      <c r="F87" s="94">
        <f t="shared" si="7"/>
        <v>0</v>
      </c>
      <c r="G87" s="100">
        <f>SUM(C87:F87)</f>
        <v>1</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COUNTIF('SATEMA_Cleaned Data'!QA:QA,"1")</f>
        <v>3</v>
      </c>
      <c r="C92" s="3">
        <f>COUNTIF('SATEMA_Cleaned Data'!QN:QN,"1")</f>
        <v>4</v>
      </c>
      <c r="D92" s="3">
        <f>COUNTIF('SATEMA_Cleaned Data'!QB:QB,"1")</f>
        <v>1</v>
      </c>
      <c r="E92" s="3">
        <f>COUNTIF('SATEMA_Cleaned Data'!QC:QC,"1")</f>
        <v>1</v>
      </c>
      <c r="F92" s="3">
        <f>COUNTIF('SATEMA_Cleaned Data'!QD:QD,"1")</f>
        <v>1</v>
      </c>
      <c r="G92" s="3">
        <f>COUNTIF('SATEMA_Cleaned Data'!QE:QE,"1")</f>
        <v>0</v>
      </c>
      <c r="H92" s="3">
        <f>COUNTIF('SATEMA_Cleaned Data'!QF:QF,"1")</f>
        <v>2</v>
      </c>
      <c r="I92" s="3">
        <f>COUNTIF('SATEMA_Cleaned Data'!QG:QG,"1")</f>
        <v>2</v>
      </c>
      <c r="J92" s="3">
        <f>COUNTIF('SATEMA_Cleaned Data'!QH:QH,"1")</f>
        <v>0</v>
      </c>
      <c r="K92" s="3">
        <f>COUNTIF('SATEMA_Cleaned Data'!QJ:QJ,"1")</f>
        <v>2</v>
      </c>
      <c r="L92" s="3">
        <f>COUNTIF('SATEMA_Cleaned Data'!QK:QK,"1")</f>
        <v>3</v>
      </c>
      <c r="M92" s="3">
        <f>COUNTIF('SATEMA_Cleaned Data'!QL:QL,"1")</f>
        <v>0</v>
      </c>
      <c r="N92" s="3">
        <f>COUNTIF('SATEMA_Cleaned Data'!QM:QM,"1")</f>
        <v>0</v>
      </c>
    </row>
    <row r="93" spans="1:14" s="36" customFormat="1" ht="37" x14ac:dyDescent="0.35">
      <c r="A93" s="54" t="s">
        <v>3301</v>
      </c>
      <c r="B93" s="55">
        <f t="shared" ref="B93:N93" si="8">(B92/$E$9)</f>
        <v>0.75</v>
      </c>
      <c r="C93" s="55">
        <f t="shared" si="8"/>
        <v>1</v>
      </c>
      <c r="D93" s="55">
        <f t="shared" si="8"/>
        <v>0.25</v>
      </c>
      <c r="E93" s="55">
        <f t="shared" si="8"/>
        <v>0.25</v>
      </c>
      <c r="F93" s="55">
        <f t="shared" si="8"/>
        <v>0.25</v>
      </c>
      <c r="G93" s="55">
        <f t="shared" si="8"/>
        <v>0</v>
      </c>
      <c r="H93" s="55">
        <f t="shared" si="8"/>
        <v>0.5</v>
      </c>
      <c r="I93" s="55">
        <f t="shared" si="8"/>
        <v>0.5</v>
      </c>
      <c r="J93" s="55">
        <f t="shared" si="8"/>
        <v>0</v>
      </c>
      <c r="K93" s="55">
        <f t="shared" si="8"/>
        <v>0.5</v>
      </c>
      <c r="L93" s="55">
        <f t="shared" si="8"/>
        <v>0.75</v>
      </c>
      <c r="M93" s="55">
        <f t="shared" si="8"/>
        <v>0</v>
      </c>
      <c r="N93" s="55">
        <f t="shared" si="8"/>
        <v>0</v>
      </c>
    </row>
    <row r="94" spans="1:14" x14ac:dyDescent="0.3">
      <c r="A94" s="14"/>
      <c r="B94" s="14"/>
      <c r="C94" s="14"/>
      <c r="D94" s="14"/>
      <c r="E94" s="14"/>
      <c r="F94" s="14"/>
      <c r="G94" s="14"/>
      <c r="H94" s="14"/>
      <c r="I94" s="14"/>
      <c r="J94" s="14"/>
      <c r="K94" s="14"/>
      <c r="L94" s="14"/>
      <c r="M94" s="14"/>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COUNTIF('SATEMA_Cleaned Data'!TB:TB,"oui")</f>
        <v>1</v>
      </c>
      <c r="C97" s="3">
        <f>COUNTIF('SATEMA_Cleaned Data'!TB:TB,"oui_exception")</f>
        <v>3</v>
      </c>
      <c r="D97" s="3">
        <f>COUNTIF('SATEMA_Cleaned Data'!TB:TB,"non")</f>
        <v>0</v>
      </c>
      <c r="E97" s="111">
        <f>SUM(B97:D97)</f>
        <v>4</v>
      </c>
      <c r="F97" s="14"/>
      <c r="G97" s="14"/>
      <c r="H97" s="14"/>
      <c r="I97" s="14"/>
      <c r="J97" s="14"/>
      <c r="K97" s="14"/>
      <c r="L97" s="14"/>
      <c r="M97" s="14"/>
    </row>
    <row r="98" spans="1:13" s="36" customFormat="1" ht="37" x14ac:dyDescent="0.3">
      <c r="A98" s="54" t="s">
        <v>3301</v>
      </c>
      <c r="B98" s="120">
        <f>(B97/$E$9)</f>
        <v>0.25</v>
      </c>
      <c r="C98" s="120">
        <f t="shared" ref="C98:D98" si="9">(C97/$E$9)</f>
        <v>0.75</v>
      </c>
      <c r="D98" s="120">
        <f t="shared" si="9"/>
        <v>0</v>
      </c>
      <c r="E98" s="100">
        <f>SUM(B98:D98)</f>
        <v>1</v>
      </c>
      <c r="F98" s="47"/>
      <c r="G98" s="47"/>
      <c r="H98" s="47"/>
      <c r="I98" s="47"/>
      <c r="J98" s="47"/>
      <c r="K98" s="47"/>
      <c r="L98" s="47"/>
      <c r="M98" s="47"/>
    </row>
    <row r="99" spans="1:13" x14ac:dyDescent="0.3">
      <c r="A99" s="14"/>
      <c r="B99" s="15"/>
      <c r="C99" s="87" t="s">
        <v>2339</v>
      </c>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COUNTIF('SATEMA_Cleaned Data'!TJ:TJ,"oui")</f>
        <v>0</v>
      </c>
      <c r="D103" s="3">
        <f>COUNTIF('SATEMA_Cleaned Data'!TJ:TJ,"non")</f>
        <v>4</v>
      </c>
      <c r="E103" s="111">
        <f>SUM(C103:D103)</f>
        <v>4</v>
      </c>
      <c r="F103" s="76"/>
      <c r="G103" s="14"/>
      <c r="H103" s="14"/>
      <c r="I103" s="14"/>
      <c r="J103" s="14"/>
      <c r="K103" s="14"/>
      <c r="L103" s="14"/>
      <c r="M103" s="14"/>
    </row>
    <row r="104" spans="1:13" ht="40.5" customHeight="1" x14ac:dyDescent="0.3">
      <c r="A104" s="14"/>
      <c r="B104" s="121" t="s">
        <v>3302</v>
      </c>
      <c r="C104" s="39">
        <f>(C103/($B$97+$C$97))</f>
        <v>0</v>
      </c>
      <c r="D104" s="39">
        <f>(D103/($B$97+$C$97))</f>
        <v>1</v>
      </c>
      <c r="E104" s="100">
        <f>SUM(C104:D104)</f>
        <v>1</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8">
        <f>COUNTIF('SATEMA_Cleaned Data'!TK:TK,"bcp_diminue")</f>
        <v>0</v>
      </c>
      <c r="E108" s="38">
        <f>COUNTIF('SATEMA_Cleaned Data'!TK:TK,"peu_diminue")</f>
        <v>0</v>
      </c>
      <c r="F108" s="38">
        <f>COUNTIF('SATEMA_Cleaned Data'!TK:TK,"bcp_augmente")</f>
        <v>0</v>
      </c>
      <c r="G108" s="38">
        <f>COUNTIF('SATEMA_Cleaned Data'!TK:TK,"peu_augmente")</f>
        <v>0</v>
      </c>
      <c r="H108" s="76" t="s">
        <v>2337</v>
      </c>
      <c r="J108" s="14"/>
      <c r="K108" s="76"/>
      <c r="L108" s="14"/>
      <c r="M108" s="14"/>
    </row>
    <row r="109" spans="1:13" ht="60.5" x14ac:dyDescent="0.3">
      <c r="A109" s="14"/>
      <c r="B109" s="15"/>
      <c r="C109" s="121" t="s">
        <v>3302</v>
      </c>
      <c r="D109" s="39" t="e">
        <f>(D108/$C$103)</f>
        <v>#DIV/0!</v>
      </c>
      <c r="E109" s="39" t="e">
        <f>(E108/$C$103)</f>
        <v>#DIV/0!</v>
      </c>
      <c r="F109" s="39" t="e">
        <f>(F108/$C$103)</f>
        <v>#DIV/0!</v>
      </c>
      <c r="G109" s="39" t="e">
        <f>(G108/$C$103)</f>
        <v>#DIV/0!</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COUNTIF('SATEMA_Cleaned Data'!TW:TW,"1")</f>
        <v>0</v>
      </c>
      <c r="E113" s="24">
        <f>COUNTIF('SATEMA_Cleaned Data'!TX:TX,"1")</f>
        <v>0</v>
      </c>
      <c r="F113" s="24">
        <f>COUNTIF('SATEMA_Cleaned Data'!TY:TY,"1")</f>
        <v>0</v>
      </c>
      <c r="G113" s="24">
        <f>COUNTIF('SATEMA_Cleaned Data'!TZ:TZ,"1")</f>
        <v>0</v>
      </c>
      <c r="H113" s="24">
        <f>COUNTIF('SATEMA_Cleaned Data'!UA:UA,"1")</f>
        <v>0</v>
      </c>
      <c r="I113" s="24">
        <f>COUNTIF('SATEMA_Cleaned Data'!UB:UB,"1")</f>
        <v>0</v>
      </c>
      <c r="J113" s="24">
        <f>COUNTIF('SATEMA_Cleaned Data'!UC:UC,"1")</f>
        <v>0</v>
      </c>
      <c r="K113" s="24">
        <f>COUNTIF('SATEMA_Cleaned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COUNTIF('SATEMA_Cleaned Data'!TM:TM,"1")</f>
        <v>0</v>
      </c>
      <c r="E118" s="24">
        <f>COUNTIF('SATEMA_Cleaned Data'!TN:TN,"1")</f>
        <v>0</v>
      </c>
      <c r="F118" s="24">
        <f>COUNTIF('SATEMA_Cleaned Data'!TO:TO,"1")</f>
        <v>0</v>
      </c>
      <c r="G118" s="24">
        <f>COUNTIF('SATEMA_Cleaned Data'!TP:TP,"1")</f>
        <v>0</v>
      </c>
      <c r="H118" s="24">
        <f>COUNTIF('SATEMA_Cleaned Data'!TQ:TQ,"1")</f>
        <v>0</v>
      </c>
      <c r="I118" s="24">
        <f>COUNTIF('SATEMA_Cleaned Data'!TR:TR,"1")</f>
        <v>0</v>
      </c>
      <c r="J118" s="24">
        <f>COUNTIF('SATEMA_Cleaned Data'!TS:TS,"1")</f>
        <v>0</v>
      </c>
      <c r="K118" s="24">
        <f>COUNTIF('SATEMA_Cleaned Data'!TT:TT,"1")</f>
        <v>0</v>
      </c>
      <c r="L118" s="14"/>
      <c r="M118" s="14"/>
    </row>
    <row r="119" spans="1:13" ht="60.5" x14ac:dyDescent="0.3">
      <c r="A119" s="14"/>
      <c r="B119" s="15"/>
      <c r="C119" s="121" t="s">
        <v>3304</v>
      </c>
      <c r="D119" s="39" t="e">
        <f>D118/(F108+G108)</f>
        <v>#DIV/0!</v>
      </c>
      <c r="E119" s="39" t="e">
        <f>E118/(F108+G108)</f>
        <v>#DIV/0!</v>
      </c>
      <c r="F119" s="39" t="e">
        <f>F118/(F108+G108)</f>
        <v>#DIV/0!</v>
      </c>
      <c r="G119" s="39" t="e">
        <f>G118/(F108+G108)</f>
        <v>#DIV/0!</v>
      </c>
      <c r="H119" s="39" t="e">
        <f>H118/(F108+G108)</f>
        <v>#DIV/0!</v>
      </c>
      <c r="I119" s="39" t="e">
        <f>I118/(F108+G108)</f>
        <v>#DIV/0!</v>
      </c>
      <c r="J119" s="39" t="e">
        <f>J118/(F108+G108)</f>
        <v>#DIV/0!</v>
      </c>
      <c r="K119" s="39" t="e">
        <f>K118/(F108+G108)</f>
        <v>#DIV/0!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COUNTIF('SATEMA_Cleaned Data'!QR:QR,"1")</f>
        <v>1</v>
      </c>
      <c r="C123" s="3">
        <f>COUNTIF('SATEMA_Cleaned Data'!QS:QS,"1")</f>
        <v>4</v>
      </c>
      <c r="D123" s="3">
        <f>COUNTIF('SATEMA_Cleaned Data'!QV:QV,"1")</f>
        <v>4</v>
      </c>
      <c r="E123" s="3">
        <f>COUNTIF('SATEMA_Cleaned Data'!QW:QW,"1")</f>
        <v>4</v>
      </c>
      <c r="F123" s="3">
        <f>COUNTIF('SATEMA_Cleaned Data'!QT:QT,"1")</f>
        <v>0</v>
      </c>
      <c r="G123" s="3">
        <f>COUNTIF('SATEMA_Cleaned Data'!QU:QU,"1")</f>
        <v>0</v>
      </c>
    </row>
    <row r="124" spans="1:13" s="36" customFormat="1" ht="37" x14ac:dyDescent="0.3">
      <c r="A124" s="54" t="s">
        <v>3301</v>
      </c>
      <c r="B124" s="94">
        <f>B123/$E$9</f>
        <v>0.25</v>
      </c>
      <c r="C124" s="94">
        <f t="shared" ref="C124:G124" si="10">C123/$E$9</f>
        <v>1</v>
      </c>
      <c r="D124" s="94">
        <f t="shared" si="10"/>
        <v>1</v>
      </c>
      <c r="E124" s="94">
        <f t="shared" si="10"/>
        <v>1</v>
      </c>
      <c r="F124" s="94">
        <f t="shared" si="10"/>
        <v>0</v>
      </c>
      <c r="G124" s="94">
        <f t="shared" si="10"/>
        <v>0</v>
      </c>
    </row>
    <row r="125" spans="1:13" x14ac:dyDescent="0.3">
      <c r="G125" s="74"/>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COUNTIF('SATEMA_Cleaned Data'!QY:QY,"oui")</f>
        <v>1</v>
      </c>
      <c r="C129" s="3">
        <f>COUNTIF('SATEMA_Cleaned Data'!QY:QY,"non")</f>
        <v>3</v>
      </c>
      <c r="D129" s="111">
        <f>SUM(B129:C129)</f>
        <v>4</v>
      </c>
    </row>
    <row r="130" spans="1:6" s="36" customFormat="1" ht="37" x14ac:dyDescent="0.3">
      <c r="A130" s="54" t="s">
        <v>3301</v>
      </c>
      <c r="B130" s="94">
        <f>(B129/$E$9)</f>
        <v>0.25</v>
      </c>
      <c r="C130" s="94">
        <f>(C129/$E$9)</f>
        <v>0.75</v>
      </c>
      <c r="D130" s="100">
        <f>SUM(B130:C130)</f>
        <v>1</v>
      </c>
    </row>
    <row r="132" spans="1:6" x14ac:dyDescent="0.3">
      <c r="B132" s="18" t="s">
        <v>1435</v>
      </c>
      <c r="D132" s="103" t="s">
        <v>3245</v>
      </c>
      <c r="E132" s="21"/>
    </row>
    <row r="133" spans="1:6" ht="28" x14ac:dyDescent="0.3">
      <c r="B133" s="6" t="s">
        <v>1436</v>
      </c>
      <c r="C133" s="6" t="s">
        <v>1437</v>
      </c>
      <c r="D133" s="6" t="s">
        <v>1438</v>
      </c>
      <c r="E133" s="6" t="s">
        <v>3259</v>
      </c>
      <c r="F133" s="6" t="s">
        <v>1205</v>
      </c>
    </row>
    <row r="134" spans="1:6" x14ac:dyDescent="0.3">
      <c r="B134" s="3">
        <f>COUNTIF('SATEMA_Cleaned Data'!RA:RA,"1")</f>
        <v>0</v>
      </c>
      <c r="C134" s="3">
        <f>COUNTIF('SATEMA_Cleaned Data'!RB:RB,"1")</f>
        <v>0</v>
      </c>
      <c r="D134" s="3">
        <f>COUNTIF('SATEMA_Cleaned Data'!RC:RC,"1")</f>
        <v>1</v>
      </c>
      <c r="E134" s="3">
        <f>COUNTIF('SATEMA_Cleaned Data'!RD:RD,"1")</f>
        <v>0</v>
      </c>
      <c r="F134" s="3">
        <f>COUNTIF('SATEMA_Cleaned Data'!RE:RE,"1")</f>
        <v>0</v>
      </c>
    </row>
    <row r="137" spans="1:6" x14ac:dyDescent="0.3">
      <c r="A137" s="21" t="s">
        <v>1302</v>
      </c>
    </row>
    <row r="138" spans="1:6" ht="33.5" customHeight="1" x14ac:dyDescent="0.3">
      <c r="A138" s="154" t="s">
        <v>1439</v>
      </c>
      <c r="B138" s="154"/>
      <c r="C138" s="154"/>
      <c r="D138" s="154"/>
      <c r="E138" s="44">
        <f>AVERAGE('SATEMA_Cleaned Data'!RG:RG)</f>
        <v>50</v>
      </c>
    </row>
    <row r="140" spans="1:6" ht="15.5" x14ac:dyDescent="0.35">
      <c r="A140" s="29" t="s">
        <v>1440</v>
      </c>
    </row>
    <row r="141" spans="1:6" x14ac:dyDescent="0.3">
      <c r="A141" s="3"/>
      <c r="B141" s="8" t="s">
        <v>1210</v>
      </c>
      <c r="C141" s="8" t="s">
        <v>1209</v>
      </c>
      <c r="D141" s="110" t="s">
        <v>1206</v>
      </c>
    </row>
    <row r="142" spans="1:6" x14ac:dyDescent="0.3">
      <c r="A142" s="3" t="s">
        <v>1207</v>
      </c>
      <c r="B142" s="3">
        <f>COUNTIF('SATEMA_Cleaned Data'!RH:RH,"oui")</f>
        <v>4</v>
      </c>
      <c r="C142" s="3">
        <f>COUNTIF('SATEMA_Cleaned Data'!RH:RH,"non")</f>
        <v>0</v>
      </c>
      <c r="D142" s="111">
        <f>SUM(B142:C142)</f>
        <v>4</v>
      </c>
    </row>
    <row r="143" spans="1:6" s="36" customFormat="1" ht="37" x14ac:dyDescent="0.3">
      <c r="A143" s="54" t="s">
        <v>3301</v>
      </c>
      <c r="B143" s="94">
        <f>(B142/$E$9)</f>
        <v>1</v>
      </c>
      <c r="C143" s="94">
        <f>(C142/$E$9)</f>
        <v>0</v>
      </c>
      <c r="D143" s="100">
        <f>SUM(B143:C143)</f>
        <v>1</v>
      </c>
    </row>
    <row r="145" spans="1:13" x14ac:dyDescent="0.3">
      <c r="B145" s="18" t="s">
        <v>1441</v>
      </c>
    </row>
    <row r="146" spans="1:13" ht="28" x14ac:dyDescent="0.3">
      <c r="B146" s="3"/>
      <c r="C146" s="12" t="s">
        <v>1226</v>
      </c>
      <c r="D146" s="12" t="s">
        <v>1405</v>
      </c>
      <c r="E146" s="12" t="s">
        <v>1225</v>
      </c>
      <c r="F146" s="12" t="s">
        <v>1404</v>
      </c>
      <c r="G146" s="110" t="s">
        <v>1206</v>
      </c>
    </row>
    <row r="147" spans="1:13" x14ac:dyDescent="0.3">
      <c r="B147" s="3" t="s">
        <v>1207</v>
      </c>
      <c r="C147" s="3">
        <f>COUNTIF('SATEMA_Cleaned Data'!RI:RI,"bcp_diminue")</f>
        <v>0</v>
      </c>
      <c r="D147" s="3">
        <f>COUNTIF('SATEMA_Cleaned Data'!RI:RI,"peu_diminue")</f>
        <v>0</v>
      </c>
      <c r="E147" s="3">
        <f>COUNTIF('SATEMA_Cleaned Data'!RI:RI,"bcp_augmente")</f>
        <v>4</v>
      </c>
      <c r="F147" s="3">
        <f>COUNTIF('SATEMA_Cleaned Data'!RI:RI,"peu_augmente")</f>
        <v>0</v>
      </c>
      <c r="G147" s="111">
        <f>SUM(C147:F147)</f>
        <v>4</v>
      </c>
    </row>
    <row r="148" spans="1:13" ht="49" x14ac:dyDescent="0.3">
      <c r="B148" s="53" t="s">
        <v>3306</v>
      </c>
      <c r="C148" s="7">
        <f>(C147/$B$142)</f>
        <v>0</v>
      </c>
      <c r="D148" s="7">
        <f>(D147/$B$142)</f>
        <v>0</v>
      </c>
      <c r="E148" s="7">
        <f>(E147/$B$142)</f>
        <v>1</v>
      </c>
      <c r="F148" s="7">
        <f>(F147/$B$142)</f>
        <v>0</v>
      </c>
      <c r="G148" s="100">
        <f>SUM(C148:F148)</f>
        <v>1</v>
      </c>
    </row>
    <row r="150" spans="1:13" x14ac:dyDescent="0.3">
      <c r="C150" s="18" t="s">
        <v>1310</v>
      </c>
      <c r="E150" s="103" t="s">
        <v>3245</v>
      </c>
    </row>
    <row r="151" spans="1:13"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3" x14ac:dyDescent="0.3">
      <c r="C152" s="3" t="s">
        <v>1207</v>
      </c>
      <c r="D152" s="3">
        <f>COUNTIF('SATEMA_Cleaned Data'!RW:RW,"1")</f>
        <v>0</v>
      </c>
      <c r="E152" s="3">
        <f>COUNTIF('SATEMA_Cleaned Data'!RX:RX,"1")</f>
        <v>0</v>
      </c>
      <c r="F152" s="3">
        <f>COUNTIF('SATEMA_Cleaned Data'!RY:RY,"1")</f>
        <v>0</v>
      </c>
      <c r="G152" s="3">
        <f>COUNTIF('SATEMA_Cleaned Data'!RZ:RZ,"1")</f>
        <v>0</v>
      </c>
      <c r="H152" s="3">
        <f>COUNTIF('SATEMA_Cleaned Data'!SA:SA,"1")</f>
        <v>0</v>
      </c>
      <c r="I152" s="3">
        <f>COUNTIF('SATEMA_Cleaned Data'!SB:SB,"1")</f>
        <v>0</v>
      </c>
      <c r="J152" s="3">
        <f>COUNTIF('SATEMA_Cleaned Data'!SC:SC,"1")</f>
        <v>0</v>
      </c>
    </row>
    <row r="153" spans="1:13" ht="49" x14ac:dyDescent="0.3">
      <c r="C153" s="53" t="s">
        <v>3307</v>
      </c>
      <c r="D153" s="78" t="e">
        <f>D152/(C147+D147)</f>
        <v>#DIV/0!</v>
      </c>
      <c r="E153" s="78" t="e">
        <f>E152/(C147+D147)</f>
        <v>#DIV/0!</v>
      </c>
      <c r="F153" s="78" t="e">
        <f>F152/(C147+D147)</f>
        <v>#DIV/0!</v>
      </c>
      <c r="G153" s="78" t="e">
        <f>G152/(C147+D147)</f>
        <v>#DIV/0!</v>
      </c>
      <c r="H153" s="78" t="e">
        <f>H152/(C147+D147)</f>
        <v>#DIV/0!</v>
      </c>
      <c r="I153" s="78" t="e">
        <f>I152/(C147+D147)</f>
        <v>#DIV/0!</v>
      </c>
      <c r="J153" s="78" t="e">
        <f>J152/(C147+D147)</f>
        <v>#DIV/0!</v>
      </c>
    </row>
    <row r="154" spans="1:13" x14ac:dyDescent="0.3">
      <c r="C154" s="14"/>
      <c r="D154" s="14"/>
      <c r="E154" s="14"/>
      <c r="F154" s="14"/>
      <c r="G154" s="14"/>
      <c r="H154" s="14"/>
      <c r="I154" s="14"/>
      <c r="J154" s="14"/>
    </row>
    <row r="155" spans="1:13" x14ac:dyDescent="0.3">
      <c r="C155" s="18" t="s">
        <v>1227</v>
      </c>
      <c r="E155" s="103" t="s">
        <v>3245</v>
      </c>
    </row>
    <row r="156" spans="1:13" s="36" customFormat="1" ht="73.5" customHeight="1" x14ac:dyDescent="0.3">
      <c r="C156" s="3"/>
      <c r="D156" s="11" t="s">
        <v>1228</v>
      </c>
      <c r="E156" s="11" t="s">
        <v>2340</v>
      </c>
      <c r="F156" s="11" t="s">
        <v>1442</v>
      </c>
      <c r="G156" s="11" t="s">
        <v>1443</v>
      </c>
      <c r="H156" s="11" t="s">
        <v>1444</v>
      </c>
      <c r="I156" s="11" t="s">
        <v>1445</v>
      </c>
      <c r="J156" s="11" t="s">
        <v>1446</v>
      </c>
      <c r="K156" s="11" t="s">
        <v>1447</v>
      </c>
      <c r="L156" s="11" t="s">
        <v>1905</v>
      </c>
      <c r="M156" s="11" t="s">
        <v>1220</v>
      </c>
    </row>
    <row r="157" spans="1:13" x14ac:dyDescent="0.3">
      <c r="C157" s="3" t="s">
        <v>1207</v>
      </c>
      <c r="D157" s="3">
        <f>COUNTIF('SATEMA_Cleaned Data'!RK:RK,"1")</f>
        <v>0</v>
      </c>
      <c r="E157" s="3">
        <f>COUNTIF('SATEMA_Cleaned Data'!RL:RL,"1")</f>
        <v>3</v>
      </c>
      <c r="F157" s="3">
        <f>COUNTIF('SATEMA_Cleaned Data'!RM:RM,"1")</f>
        <v>3</v>
      </c>
      <c r="G157" s="3">
        <f>COUNTIF('SATEMA_Cleaned Data'!RN:RN,"1")</f>
        <v>1</v>
      </c>
      <c r="H157" s="3">
        <f>COUNTIF('SATEMA_Cleaned Data'!RO:RO,"1")</f>
        <v>0</v>
      </c>
      <c r="I157" s="3">
        <f>COUNTIF('SATEMA_Cleaned Data'!RP:RP,"1")</f>
        <v>1</v>
      </c>
      <c r="J157" s="3">
        <f>COUNTIF('SATEMA_Cleaned Data'!RQ:RQ,"1")</f>
        <v>0</v>
      </c>
      <c r="K157" s="3">
        <f>COUNTIF('SATEMA_Cleaned Data'!RR:RR,"1")</f>
        <v>1</v>
      </c>
      <c r="L157" s="3">
        <f>COUNTIF('SATEMA_Cleaned Data'!RS:RS,"1")</f>
        <v>0</v>
      </c>
      <c r="M157" s="3">
        <f>COUNTIF('SATEMA_Cleaned Data'!RT:RT,"1")</f>
        <v>0</v>
      </c>
    </row>
    <row r="158" spans="1:13" ht="49" x14ac:dyDescent="0.3">
      <c r="C158" s="53" t="s">
        <v>3308</v>
      </c>
      <c r="D158" s="7">
        <f>D157/(E147+F147)</f>
        <v>0</v>
      </c>
      <c r="E158" s="7">
        <f>E157/(E147+F147)</f>
        <v>0.75</v>
      </c>
      <c r="F158" s="7">
        <f>F157/(E147+F147)</f>
        <v>0.75</v>
      </c>
      <c r="G158" s="7">
        <f>G157/(E147+F147)</f>
        <v>0.25</v>
      </c>
      <c r="H158" s="7">
        <f>H157/(E147+F147)</f>
        <v>0</v>
      </c>
      <c r="I158" s="7">
        <f>I157/(E147+F147)</f>
        <v>0.25</v>
      </c>
      <c r="J158" s="7">
        <f>J157/(E147+F147)</f>
        <v>0</v>
      </c>
      <c r="K158" s="7">
        <f>K157/(E147+F147)</f>
        <v>0.25</v>
      </c>
      <c r="L158" s="7">
        <f>L157/(E147+F147)</f>
        <v>0</v>
      </c>
      <c r="M158" s="7">
        <f>M157/(E147+F147)</f>
        <v>0</v>
      </c>
    </row>
    <row r="159" spans="1:13" x14ac:dyDescent="0.3">
      <c r="C159" s="50"/>
    </row>
    <row r="160" spans="1:13"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COUNTIF('SATEMA_Cleaned Data'!SE:SE,"fortement_sur:utilise")</f>
        <v>1</v>
      </c>
      <c r="C162" s="3">
        <f>COUNTIF('SATEMA_Cleaned Data'!SE:SE,"sur_utilise")</f>
        <v>3</v>
      </c>
      <c r="D162" s="3">
        <f>COUNTIF('SATEMA_Cleaned Data'!SE:SE,"ok")</f>
        <v>0</v>
      </c>
      <c r="E162" s="3">
        <f>COUNTIF('SATEMA_Cleaned Data'!SE:SE,"sous_utilise")</f>
        <v>0</v>
      </c>
      <c r="F162" s="3">
        <f>COUNTIF('SATEMA_Cleaned Data'!SE:SE,"fortement_sous_utilise")</f>
        <v>0</v>
      </c>
      <c r="G162" s="3">
        <f>COUNTIF('SATEMA_Cleaned Data'!SE:SE,"nsp")</f>
        <v>0</v>
      </c>
      <c r="H162" s="111">
        <f>SUM(B162:G162)</f>
        <v>4</v>
      </c>
    </row>
    <row r="163" spans="1:8" s="36" customFormat="1" ht="37" x14ac:dyDescent="0.3">
      <c r="A163" s="54" t="s">
        <v>3301</v>
      </c>
      <c r="B163" s="94">
        <f>B162/$E$9</f>
        <v>0.25</v>
      </c>
      <c r="C163" s="94">
        <f t="shared" ref="C163:G163" si="11">C162/$E$9</f>
        <v>0.75</v>
      </c>
      <c r="D163" s="94">
        <f t="shared" si="11"/>
        <v>0</v>
      </c>
      <c r="E163" s="94">
        <f t="shared" si="11"/>
        <v>0</v>
      </c>
      <c r="F163" s="94">
        <f t="shared" si="11"/>
        <v>0</v>
      </c>
      <c r="G163" s="94">
        <f t="shared" si="11"/>
        <v>0</v>
      </c>
      <c r="H163" s="100">
        <f>SUM(B163:G163)</f>
        <v>1</v>
      </c>
    </row>
    <row r="166" spans="1:8" ht="15.5" x14ac:dyDescent="0.3">
      <c r="A166" s="80" t="s">
        <v>1454</v>
      </c>
      <c r="E166" s="132">
        <f>AVERAGE('SATEMA_Cleaned Data'!SF:SF)</f>
        <v>10</v>
      </c>
    </row>
    <row r="167" spans="1:8" ht="15.5" x14ac:dyDescent="0.35">
      <c r="A167" s="79" t="s">
        <v>1455</v>
      </c>
      <c r="E167" s="21">
        <f>AVERAGE('SATEMA_Cleaned Data'!SG:SG)</f>
        <v>0.75</v>
      </c>
    </row>
    <row r="168" spans="1:8" ht="15.5" x14ac:dyDescent="0.35">
      <c r="A168" s="29" t="s">
        <v>1456</v>
      </c>
      <c r="E168" s="10">
        <f>AVERAGE('SATEMA_Cleaned Data'!SH:SH)</f>
        <v>1.75</v>
      </c>
    </row>
    <row r="169" spans="1:8" ht="15.5" x14ac:dyDescent="0.35">
      <c r="A169" s="29" t="s">
        <v>1457</v>
      </c>
      <c r="E169" s="10">
        <f>AVERAGE('SATEMA_Cleaned Data'!SI:SI)</f>
        <v>1.5</v>
      </c>
    </row>
    <row r="170" spans="1:8" ht="15.5" x14ac:dyDescent="0.35">
      <c r="A170" s="29" t="s">
        <v>1458</v>
      </c>
      <c r="E170" s="10">
        <f>AVERAGE('SATEMA_Cleaned Data'!SJ:SJ)</f>
        <v>0</v>
      </c>
    </row>
    <row r="171" spans="1:8" ht="15.5" x14ac:dyDescent="0.35">
      <c r="A171" s="29" t="s">
        <v>1459</v>
      </c>
      <c r="E171" s="10">
        <f>AVERAGE('SATEMA_Cleaned Data'!SK:SK)</f>
        <v>0.25</v>
      </c>
    </row>
    <row r="172" spans="1:8" ht="15.5" x14ac:dyDescent="0.35">
      <c r="A172" s="79" t="s">
        <v>1460</v>
      </c>
      <c r="B172" s="21"/>
      <c r="C172" s="21"/>
      <c r="D172" s="21"/>
      <c r="E172" s="21">
        <f>AVERAGE('SATEMA_Cleaned Data'!SL:SL)</f>
        <v>4.5</v>
      </c>
    </row>
    <row r="173" spans="1:8" ht="15.5" x14ac:dyDescent="0.35">
      <c r="A173" s="29" t="s">
        <v>1461</v>
      </c>
      <c r="E173" s="10">
        <f>AVERAGE('SATEMA_Cleaned Data'!SM:SM)</f>
        <v>1.25</v>
      </c>
    </row>
    <row r="175" spans="1:8" ht="15.5" x14ac:dyDescent="0.35">
      <c r="A175" s="9" t="s">
        <v>1296</v>
      </c>
    </row>
    <row r="176" spans="1:8" ht="15.5" x14ac:dyDescent="0.35">
      <c r="A176" s="29" t="s">
        <v>1469</v>
      </c>
    </row>
    <row r="177" spans="1:16" x14ac:dyDescent="0.3">
      <c r="A177" s="3"/>
      <c r="B177" s="8" t="s">
        <v>1471</v>
      </c>
      <c r="C177" s="8" t="s">
        <v>1472</v>
      </c>
      <c r="D177" s="8" t="s">
        <v>1473</v>
      </c>
      <c r="E177" s="8" t="s">
        <v>1470</v>
      </c>
      <c r="F177" s="8" t="s">
        <v>3259</v>
      </c>
      <c r="G177" s="8" t="s">
        <v>1220</v>
      </c>
      <c r="H177" s="110" t="s">
        <v>1206</v>
      </c>
    </row>
    <row r="178" spans="1:16" x14ac:dyDescent="0.3">
      <c r="A178" s="3" t="s">
        <v>1207</v>
      </c>
      <c r="B178" s="3">
        <f>COUNTIF('SATEMA_Cleaned Data'!UM:UM,"public")</f>
        <v>1</v>
      </c>
      <c r="C178" s="3">
        <f>COUNTIF('SATEMA_Cleaned Data'!UM:UM,"prive")</f>
        <v>0</v>
      </c>
      <c r="D178" s="3">
        <f>COUNTIF('SATEMA_Cleaned Data'!UM:UM,"religieux")</f>
        <v>0</v>
      </c>
      <c r="E178" s="3">
        <f>COUNTIF('SATEMA_Cleaned Data'!UM:UM,"ong")</f>
        <v>3</v>
      </c>
      <c r="F178" s="3">
        <f>COUNTIF('SATEMA_Cleaned Data'!UM:UM,"nsp")</f>
        <v>0</v>
      </c>
      <c r="G178" s="123">
        <f>COUNTIF('SATEMA_Cleaned Data'!UM:UM,"autre")</f>
        <v>0</v>
      </c>
      <c r="H178" s="111">
        <f>SUM(B178:G178)</f>
        <v>4</v>
      </c>
    </row>
    <row r="179" spans="1:16" s="36" customFormat="1" ht="37" x14ac:dyDescent="0.3">
      <c r="A179" s="54" t="s">
        <v>3309</v>
      </c>
      <c r="B179" s="94">
        <f t="shared" ref="B179:G179" si="12">B178/$C$4</f>
        <v>0.25</v>
      </c>
      <c r="C179" s="94">
        <f t="shared" si="12"/>
        <v>0</v>
      </c>
      <c r="D179" s="94">
        <f t="shared" si="12"/>
        <v>0</v>
      </c>
      <c r="E179" s="94">
        <f t="shared" si="12"/>
        <v>0.75</v>
      </c>
      <c r="F179" s="94">
        <f t="shared" si="12"/>
        <v>0</v>
      </c>
      <c r="G179" s="94">
        <f t="shared" si="12"/>
        <v>0</v>
      </c>
      <c r="H179" s="100">
        <f>SUM(B179:G179)</f>
        <v>1</v>
      </c>
    </row>
    <row r="180" spans="1:16" x14ac:dyDescent="0.3">
      <c r="A180" s="14"/>
      <c r="B180" s="14"/>
      <c r="C180" s="14"/>
      <c r="D180" s="14"/>
      <c r="E180" s="14"/>
      <c r="F180" s="14"/>
    </row>
    <row r="181" spans="1:16" ht="15.5" x14ac:dyDescent="0.35">
      <c r="A181" s="45" t="s">
        <v>1474</v>
      </c>
      <c r="B181" s="14"/>
      <c r="C181" s="14"/>
      <c r="D181" s="14"/>
      <c r="E181" s="14"/>
      <c r="F181" s="14"/>
    </row>
    <row r="182" spans="1:16" x14ac:dyDescent="0.3">
      <c r="A182" s="3"/>
      <c r="B182" s="8" t="s">
        <v>1210</v>
      </c>
      <c r="C182" s="8" t="s">
        <v>1209</v>
      </c>
      <c r="D182" s="110" t="s">
        <v>1206</v>
      </c>
      <c r="E182" s="14"/>
      <c r="F182" s="14"/>
    </row>
    <row r="183" spans="1:16" x14ac:dyDescent="0.3">
      <c r="A183" s="3" t="s">
        <v>1207</v>
      </c>
      <c r="B183" s="3">
        <f>COUNTIF('SATEMA_Cleaned Data'!UO:UO,"oui")</f>
        <v>1</v>
      </c>
      <c r="C183" s="3">
        <f>COUNTIF('SATEMA_Cleaned Data'!UO:UO,"non")</f>
        <v>3</v>
      </c>
      <c r="D183" s="111">
        <f>SUM(B183:C183)</f>
        <v>4</v>
      </c>
      <c r="E183" s="14"/>
      <c r="F183" s="14"/>
    </row>
    <row r="184" spans="1:16" s="36" customFormat="1" ht="37" x14ac:dyDescent="0.3">
      <c r="A184" s="54" t="s">
        <v>3309</v>
      </c>
      <c r="B184" s="94">
        <f>(B183/$C$4)</f>
        <v>0.25</v>
      </c>
      <c r="C184" s="94">
        <f>(C183/$C$4)</f>
        <v>0.75</v>
      </c>
      <c r="D184" s="100">
        <f>SUM(B184:C184)</f>
        <v>1</v>
      </c>
      <c r="E184" s="47"/>
      <c r="F184" s="47"/>
    </row>
    <row r="185" spans="1:16" ht="15.5" x14ac:dyDescent="0.35">
      <c r="A185" s="9"/>
    </row>
    <row r="186" spans="1:16" ht="15.5" x14ac:dyDescent="0.35">
      <c r="A186" s="29" t="s">
        <v>1298</v>
      </c>
      <c r="D186" s="103" t="s">
        <v>3245</v>
      </c>
    </row>
    <row r="187" spans="1:16" x14ac:dyDescent="0.3">
      <c r="A187" s="3"/>
      <c r="B187" s="8" t="s">
        <v>1250</v>
      </c>
      <c r="C187" s="8" t="s">
        <v>1251</v>
      </c>
      <c r="D187" s="8" t="s">
        <v>1905</v>
      </c>
      <c r="E187" s="8" t="s">
        <v>1205</v>
      </c>
      <c r="F187" s="8" t="s">
        <v>1252</v>
      </c>
    </row>
    <row r="188" spans="1:16" x14ac:dyDescent="0.3">
      <c r="A188" s="3" t="s">
        <v>1207</v>
      </c>
      <c r="B188" s="3">
        <f>COUNTIF('SATEMA_Cleaned Data'!UG:UG,"1")</f>
        <v>4</v>
      </c>
      <c r="C188" s="3">
        <f>COUNTIF('SATEMA_Cleaned Data'!UH:UH,"1")</f>
        <v>1</v>
      </c>
      <c r="D188" s="3">
        <f>COUNTIF('SATEMA_Cleaned Data'!UI:UI,"1")</f>
        <v>0</v>
      </c>
      <c r="E188" s="3">
        <f>COUNTIF('SATEMA_Cleaned Data'!UJ:UJ,"1")</f>
        <v>0</v>
      </c>
      <c r="F188" s="3">
        <f>COUNTIF('SATEMA_Cleaned Data'!UK:UK,"1")</f>
        <v>0</v>
      </c>
    </row>
    <row r="189" spans="1:16" s="36" customFormat="1" ht="37" x14ac:dyDescent="0.3">
      <c r="A189" s="54" t="s">
        <v>3309</v>
      </c>
      <c r="B189" s="94">
        <f>B188/$C$4</f>
        <v>1</v>
      </c>
      <c r="C189" s="94">
        <f>C188/$C$4</f>
        <v>0.25</v>
      </c>
      <c r="D189" s="94">
        <f>D188/$C$4</f>
        <v>0</v>
      </c>
      <c r="E189" s="94">
        <f>E188/$C$4</f>
        <v>0</v>
      </c>
      <c r="F189" s="94">
        <f t="shared" ref="F189" si="13">F188/$B$9</f>
        <v>0</v>
      </c>
    </row>
    <row r="191" spans="1:16" ht="15.5" x14ac:dyDescent="0.35">
      <c r="A191" s="29" t="s">
        <v>1299</v>
      </c>
      <c r="D191" s="103" t="s">
        <v>3245</v>
      </c>
    </row>
    <row r="192" spans="1:16" s="36" customFormat="1" ht="76.5" customHeight="1" x14ac:dyDescent="0.35">
      <c r="A192" s="8" t="s">
        <v>1475</v>
      </c>
      <c r="B192" s="8" t="s">
        <v>2075</v>
      </c>
      <c r="C192" s="8" t="s">
        <v>1476</v>
      </c>
      <c r="D192" s="8" t="s">
        <v>1477</v>
      </c>
      <c r="E192" s="8" t="s">
        <v>1478</v>
      </c>
      <c r="F192" s="8" t="s">
        <v>1479</v>
      </c>
      <c r="G192" s="8" t="s">
        <v>1480</v>
      </c>
      <c r="H192" s="8" t="s">
        <v>2076</v>
      </c>
      <c r="I192" s="8" t="s">
        <v>1481</v>
      </c>
      <c r="J192" s="8" t="s">
        <v>1378</v>
      </c>
      <c r="K192" s="8" t="s">
        <v>1482</v>
      </c>
      <c r="L192" s="8" t="s">
        <v>2077</v>
      </c>
      <c r="M192" s="8" t="s">
        <v>2078</v>
      </c>
      <c r="N192" s="8" t="s">
        <v>1381</v>
      </c>
      <c r="O192" s="8" t="s">
        <v>3259</v>
      </c>
      <c r="P192" s="8" t="s">
        <v>1205</v>
      </c>
    </row>
    <row r="193" spans="1:26" x14ac:dyDescent="0.3">
      <c r="A193" s="3">
        <f>COUNTIF('SATEMA_Cleaned Data'!UQ:UQ,"1")</f>
        <v>1</v>
      </c>
      <c r="B193" s="3">
        <f>COUNTIF('SATEMA_Cleaned Data'!UR:UR,"1")</f>
        <v>1</v>
      </c>
      <c r="C193" s="3">
        <f>COUNTIF('SATEMA_Cleaned Data'!US:US,"1")</f>
        <v>3</v>
      </c>
      <c r="D193" s="3">
        <f>COUNTIF('SATEMA_Cleaned Data'!UT:UT,"1")</f>
        <v>3</v>
      </c>
      <c r="E193" s="3">
        <f>COUNTIF('SATEMA_Cleaned Data'!UU:UU,"1")</f>
        <v>0</v>
      </c>
      <c r="F193" s="3">
        <f>COUNTIF('SATEMA_Cleaned Data'!UV:UV,"1")</f>
        <v>1</v>
      </c>
      <c r="G193" s="3">
        <f>COUNTIF('SATEMA_Cleaned Data'!UW:UW,"1")</f>
        <v>4</v>
      </c>
      <c r="H193" s="3">
        <f>COUNTIF('SATEMA_Cleaned Data'!UX:UX,"1")</f>
        <v>1</v>
      </c>
      <c r="I193" s="3">
        <f>COUNTIF('SATEMA_Cleaned Data'!UY:UY,"1")</f>
        <v>3</v>
      </c>
      <c r="J193" s="3">
        <f>COUNTIF('SATEMA_Cleaned Data'!UZ:UZ,"1")</f>
        <v>1</v>
      </c>
      <c r="K193" s="3">
        <f>COUNTIF('SATEMA_Cleaned Data'!VA:VA,"1")</f>
        <v>3</v>
      </c>
      <c r="L193" s="3">
        <f>COUNTIF('SATEMA_Cleaned Data'!VB:VB,"1")</f>
        <v>0</v>
      </c>
      <c r="M193" s="3">
        <f>COUNTIF('SATEMA_Cleaned Data'!VC:VC,"1")</f>
        <v>0</v>
      </c>
      <c r="N193" s="3">
        <f>COUNTIF('SATEMA_Cleaned Data'!VD:VD,"1")</f>
        <v>0</v>
      </c>
      <c r="O193" s="3">
        <f>COUNTIF('SATEMA_Cleaned Data'!VE:VE,"1")</f>
        <v>0</v>
      </c>
      <c r="P193" s="3">
        <f>COUNTIF('SATEMA_Cleaned Data'!VF:VF,"1")</f>
        <v>0</v>
      </c>
    </row>
    <row r="195" spans="1:26" ht="15.5" x14ac:dyDescent="0.35">
      <c r="A195" s="29" t="s">
        <v>1300</v>
      </c>
      <c r="D195" s="103" t="s">
        <v>3245</v>
      </c>
    </row>
    <row r="196" spans="1:26" ht="28" x14ac:dyDescent="0.3">
      <c r="A196" s="8" t="s">
        <v>1236</v>
      </c>
      <c r="B196" s="8" t="s">
        <v>1256</v>
      </c>
      <c r="C196" s="8" t="s">
        <v>1257</v>
      </c>
      <c r="D196" s="8" t="s">
        <v>1239</v>
      </c>
      <c r="E196" s="8" t="s">
        <v>1240</v>
      </c>
      <c r="F196" s="8" t="s">
        <v>1258</v>
      </c>
      <c r="G196" s="8" t="s">
        <v>1259</v>
      </c>
      <c r="H196" s="8" t="s">
        <v>1260</v>
      </c>
      <c r="I196" s="8" t="s">
        <v>1261</v>
      </c>
      <c r="J196" s="8" t="s">
        <v>1252</v>
      </c>
      <c r="K196" s="8" t="s">
        <v>1905</v>
      </c>
      <c r="L196" s="8" t="s">
        <v>1220</v>
      </c>
    </row>
    <row r="197" spans="1:26" x14ac:dyDescent="0.3">
      <c r="A197" s="24">
        <f>COUNTIF('SATEMA_Cleaned Data'!VI:VI,"1")</f>
        <v>1</v>
      </c>
      <c r="B197" s="24">
        <f>COUNTIF('SATEMA_Cleaned Data'!VJ:VJ,"1")</f>
        <v>4</v>
      </c>
      <c r="C197" s="24">
        <f>COUNTIF('SATEMA_Cleaned Data'!VK:VK,"1")</f>
        <v>0</v>
      </c>
      <c r="D197" s="24">
        <f>COUNTIF('SATEMA_Cleaned Data'!VL:VL,"1")</f>
        <v>0</v>
      </c>
      <c r="E197" s="24">
        <f>COUNTIF('SATEMA_Cleaned Data'!VM:VM,"1")</f>
        <v>4</v>
      </c>
      <c r="F197" s="24">
        <f>COUNTIF('SATEMA_Cleaned Data'!VN:VN,"1")</f>
        <v>0</v>
      </c>
      <c r="G197" s="24">
        <f>COUNTIF('SATEMA_Cleaned Data'!VO:VO,"1")</f>
        <v>0</v>
      </c>
      <c r="H197" s="24">
        <f>COUNTIF('SATEMA_Cleaned Data'!VP:VP,"1")</f>
        <v>4</v>
      </c>
      <c r="I197" s="24">
        <f>COUNTIF('SATEMA_Cleaned Data'!VQ:VQ,"1")</f>
        <v>0</v>
      </c>
      <c r="J197" s="24">
        <f>COUNTIF('SATEMA_Cleaned Data'!VR:VR,"1")</f>
        <v>0</v>
      </c>
      <c r="K197" s="24">
        <f>COUNTIF('SATEMA_Cleaned Data'!VS:VS,"1")</f>
        <v>0</v>
      </c>
      <c r="L197" s="24">
        <f>COUNTIF('SATEMA_Cleaned Data'!VT:VT,"1")</f>
        <v>0</v>
      </c>
    </row>
    <row r="199" spans="1:26" ht="15.5" x14ac:dyDescent="0.35">
      <c r="A199" s="29" t="s">
        <v>1334</v>
      </c>
    </row>
    <row r="200" spans="1:26" x14ac:dyDescent="0.3">
      <c r="A200" s="3"/>
      <c r="B200" s="8" t="s">
        <v>1210</v>
      </c>
      <c r="C200" s="8" t="s">
        <v>1209</v>
      </c>
      <c r="D200" s="110" t="s">
        <v>1206</v>
      </c>
    </row>
    <row r="201" spans="1:26" x14ac:dyDescent="0.3">
      <c r="A201" s="3" t="s">
        <v>1207</v>
      </c>
      <c r="B201" s="24">
        <f>COUNTIF('SATEMA_Cleaned Data'!VW:VW,"OUI")</f>
        <v>4</v>
      </c>
      <c r="C201" s="24">
        <f>COUNTIF('SATEMA_Cleaned Data'!VW:VW,"non")</f>
        <v>0</v>
      </c>
      <c r="D201" s="111">
        <f>SUM(B201:C201)</f>
        <v>4</v>
      </c>
    </row>
    <row r="202" spans="1:26" ht="37.5" x14ac:dyDescent="0.3">
      <c r="A202" s="53" t="s">
        <v>3288</v>
      </c>
      <c r="B202" s="39">
        <f>(B201/$C$4)</f>
        <v>1</v>
      </c>
      <c r="C202" s="39">
        <f>(C201/$C$4)</f>
        <v>0</v>
      </c>
      <c r="D202" s="100">
        <f>SUM(B202:C202)</f>
        <v>1</v>
      </c>
    </row>
    <row r="203" spans="1:26" x14ac:dyDescent="0.3">
      <c r="A203" s="91"/>
      <c r="B203" s="15"/>
      <c r="C203" s="15"/>
    </row>
    <row r="204" spans="1:26" s="1" customFormat="1" x14ac:dyDescent="0.3">
      <c r="A204" s="10"/>
      <c r="B204" s="18" t="s">
        <v>1262</v>
      </c>
      <c r="C204" s="10"/>
      <c r="D204" s="103" t="s">
        <v>3245</v>
      </c>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s="56" customFormat="1" ht="28" x14ac:dyDescent="0.3">
      <c r="A205" s="36"/>
      <c r="B205" s="3"/>
      <c r="C205" s="11" t="s">
        <v>1922</v>
      </c>
      <c r="D205" s="11" t="s">
        <v>1369</v>
      </c>
      <c r="E205" s="11" t="s">
        <v>1923</v>
      </c>
      <c r="F205" s="11" t="s">
        <v>1924</v>
      </c>
      <c r="G205" s="11" t="s">
        <v>1925</v>
      </c>
      <c r="H205" s="11" t="s">
        <v>1905</v>
      </c>
      <c r="I205" s="11" t="s">
        <v>1205</v>
      </c>
      <c r="J205" s="61"/>
      <c r="K205" s="61"/>
      <c r="L205" s="36"/>
      <c r="M205" s="36"/>
      <c r="N205" s="36"/>
      <c r="O205" s="36"/>
      <c r="P205" s="36"/>
      <c r="Q205" s="36"/>
      <c r="R205" s="36"/>
      <c r="S205" s="36"/>
      <c r="T205" s="36"/>
      <c r="U205" s="36"/>
      <c r="V205" s="36"/>
      <c r="W205" s="36"/>
      <c r="X205" s="36"/>
      <c r="Y205" s="36"/>
      <c r="Z205" s="36"/>
    </row>
    <row r="206" spans="1:26" s="1" customFormat="1" x14ac:dyDescent="0.3">
      <c r="A206" s="10"/>
      <c r="B206" s="3" t="s">
        <v>1207</v>
      </c>
      <c r="C206" s="24">
        <f>COUNTIF('SATEMA_Cleaned Data'!VY:VY,"1")</f>
        <v>0</v>
      </c>
      <c r="D206" s="24">
        <f>COUNTIF('SATEMA_Cleaned Data'!VZ:VZ,"1")</f>
        <v>0</v>
      </c>
      <c r="E206" s="24">
        <f>COUNTIF('SATEMA_Cleaned Data'!WA:WA,"1")</f>
        <v>1</v>
      </c>
      <c r="F206" s="24">
        <f>COUNTIF('SATEMA_Cleaned Data'!WB:WB,"1")</f>
        <v>0</v>
      </c>
      <c r="G206" s="24">
        <f>COUNTIF('SATEMA_Cleaned Data'!WC:WC,"1")</f>
        <v>1</v>
      </c>
      <c r="H206" s="24">
        <f>COUNTIF('SATEMA_Cleaned Data'!WD:WD,"1")</f>
        <v>0</v>
      </c>
      <c r="I206" s="24">
        <f>COUNTIF('SATEMA_Cleaned Data'!WE:WE,"1")</f>
        <v>3</v>
      </c>
      <c r="J206" s="10"/>
      <c r="K206" s="10"/>
      <c r="L206" s="10"/>
      <c r="M206" s="10"/>
      <c r="N206" s="10"/>
      <c r="O206" s="10"/>
      <c r="P206" s="10"/>
      <c r="Q206" s="10"/>
      <c r="R206" s="10"/>
      <c r="S206" s="10"/>
      <c r="T206" s="10"/>
      <c r="U206" s="10"/>
      <c r="V206" s="10"/>
      <c r="W206" s="10"/>
      <c r="X206" s="10"/>
      <c r="Y206" s="10"/>
      <c r="Z206" s="10"/>
    </row>
    <row r="207" spans="1:26" s="1" customFormat="1" ht="37.5" x14ac:dyDescent="0.3">
      <c r="A207" s="10"/>
      <c r="B207" s="53" t="s">
        <v>3310</v>
      </c>
      <c r="C207" s="7">
        <f>C206/$B$201</f>
        <v>0</v>
      </c>
      <c r="D207" s="7">
        <f t="shared" ref="D207:I207" si="14">D206/$B$201</f>
        <v>0</v>
      </c>
      <c r="E207" s="7">
        <f t="shared" si="14"/>
        <v>0.25</v>
      </c>
      <c r="F207" s="7">
        <f t="shared" si="14"/>
        <v>0</v>
      </c>
      <c r="G207" s="7">
        <f t="shared" si="14"/>
        <v>0.25</v>
      </c>
      <c r="H207" s="7">
        <f t="shared" si="14"/>
        <v>0</v>
      </c>
      <c r="I207" s="7">
        <f t="shared" si="14"/>
        <v>0.75</v>
      </c>
      <c r="J207" s="74"/>
      <c r="K207" s="10"/>
      <c r="L207" s="10"/>
      <c r="M207" s="10"/>
      <c r="N207" s="10"/>
      <c r="O207" s="10"/>
      <c r="P207" s="10"/>
      <c r="Q207" s="10"/>
      <c r="R207" s="10"/>
      <c r="S207" s="10"/>
      <c r="T207" s="10"/>
      <c r="U207" s="10"/>
      <c r="V207" s="10"/>
      <c r="W207" s="10"/>
      <c r="X207" s="10"/>
      <c r="Y207" s="10"/>
      <c r="Z207" s="10"/>
    </row>
    <row r="208" spans="1:26" s="1" customFormat="1" x14ac:dyDescent="0.3">
      <c r="A208" s="10"/>
      <c r="B208" s="10"/>
      <c r="C208" s="10"/>
      <c r="D208" s="10"/>
      <c r="E208" s="10"/>
      <c r="F208" s="10"/>
      <c r="G208" s="10"/>
      <c r="H208" s="10"/>
      <c r="I208" s="74" t="s">
        <v>2341</v>
      </c>
      <c r="J208" s="10"/>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8" t="s">
        <v>1265</v>
      </c>
      <c r="C210" s="10"/>
      <c r="D210" s="103" t="s">
        <v>3245</v>
      </c>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s="56" customFormat="1" ht="56" x14ac:dyDescent="0.3">
      <c r="A211" s="36"/>
      <c r="B211" s="3"/>
      <c r="C211" s="11" t="s">
        <v>1928</v>
      </c>
      <c r="D211" s="11" t="s">
        <v>1926</v>
      </c>
      <c r="E211" s="11" t="s">
        <v>1268</v>
      </c>
      <c r="F211" s="11" t="s">
        <v>1269</v>
      </c>
      <c r="G211" s="11" t="s">
        <v>1927</v>
      </c>
      <c r="H211" s="11" t="s">
        <v>1266</v>
      </c>
      <c r="I211" s="11" t="s">
        <v>1267</v>
      </c>
      <c r="J211" s="11" t="s">
        <v>1929</v>
      </c>
      <c r="K211" s="11" t="s">
        <v>1930</v>
      </c>
      <c r="L211" s="11" t="s">
        <v>1931</v>
      </c>
      <c r="M211" s="11" t="s">
        <v>1932</v>
      </c>
      <c r="N211" s="11" t="s">
        <v>1905</v>
      </c>
      <c r="O211" s="11" t="s">
        <v>1220</v>
      </c>
      <c r="P211" s="61"/>
      <c r="Q211" s="61"/>
      <c r="S211" s="36"/>
      <c r="T211" s="36"/>
      <c r="U211" s="36"/>
      <c r="V211" s="36"/>
      <c r="W211" s="36"/>
      <c r="X211" s="36"/>
      <c r="Y211" s="36"/>
      <c r="Z211" s="36"/>
    </row>
    <row r="212" spans="1:26" s="1" customFormat="1" x14ac:dyDescent="0.3">
      <c r="A212" s="10"/>
      <c r="B212" s="3" t="s">
        <v>1207</v>
      </c>
      <c r="C212" s="24">
        <f>COUNTIF('SATEMA_Cleaned Data'!WH:WH,"1")</f>
        <v>4</v>
      </c>
      <c r="D212" s="24">
        <f>COUNTIF('SATEMA_Cleaned Data'!WI:WI,"1")</f>
        <v>0</v>
      </c>
      <c r="E212" s="24">
        <f>COUNTIF('SATEMA_Cleaned Data'!WJ:WJ,"1")</f>
        <v>4</v>
      </c>
      <c r="F212" s="24">
        <f>COUNTIF('SATEMA_Cleaned Data'!WK:WK,"1")</f>
        <v>1</v>
      </c>
      <c r="G212" s="24">
        <f>COUNTIF('SATEMA_Cleaned Data'!WL:WL,"1")</f>
        <v>0</v>
      </c>
      <c r="H212" s="24">
        <f>COUNTIF('SATEMA_Cleaned Data'!WM:WM,"1")</f>
        <v>0</v>
      </c>
      <c r="I212" s="24">
        <f>COUNTIF('SATEMA_Cleaned Data'!WN:WN,"1")</f>
        <v>0</v>
      </c>
      <c r="J212" s="24">
        <f>COUNTIF('SATEMA_Cleaned Data'!WO:WO,"1")</f>
        <v>0</v>
      </c>
      <c r="K212" s="24">
        <f>COUNTIF('SATEMA_Cleaned Data'!WP:WP,"1")</f>
        <v>0</v>
      </c>
      <c r="L212" s="24">
        <f>COUNTIF('SATEMA_Cleaned Data'!WQ:WQ,"1")</f>
        <v>0</v>
      </c>
      <c r="M212" s="24">
        <f>COUNTIF('SATEMA_Cleaned Data'!WR:WR,"1")</f>
        <v>3</v>
      </c>
      <c r="N212" s="24">
        <f>COUNTIF('SATEMA_Cleaned Data'!WS:WS,"1")</f>
        <v>0</v>
      </c>
      <c r="O212" s="24">
        <f>COUNTIF('SATEMA_Cleaned Data'!WT:WT,"1")</f>
        <v>0</v>
      </c>
      <c r="P212" s="10"/>
      <c r="Q212" s="10"/>
      <c r="R212" s="10"/>
      <c r="S212" s="10"/>
      <c r="T212" s="10"/>
      <c r="U212" s="10"/>
      <c r="V212" s="10"/>
      <c r="W212" s="10"/>
      <c r="X212" s="10"/>
      <c r="Y212" s="10"/>
      <c r="Z212" s="10"/>
    </row>
    <row r="213" spans="1:26" s="1" customFormat="1" ht="37.5" x14ac:dyDescent="0.3">
      <c r="A213" s="10"/>
      <c r="B213" s="53" t="s">
        <v>3310</v>
      </c>
      <c r="C213" s="7">
        <f>C212/$B$201</f>
        <v>1</v>
      </c>
      <c r="D213" s="7">
        <f t="shared" ref="D213:O213" si="15">D212/$B$201</f>
        <v>0</v>
      </c>
      <c r="E213" s="7">
        <f t="shared" si="15"/>
        <v>1</v>
      </c>
      <c r="F213" s="7">
        <f t="shared" si="15"/>
        <v>0.25</v>
      </c>
      <c r="G213" s="7">
        <f t="shared" si="15"/>
        <v>0</v>
      </c>
      <c r="H213" s="7">
        <f t="shared" si="15"/>
        <v>0</v>
      </c>
      <c r="I213" s="7">
        <f t="shared" si="15"/>
        <v>0</v>
      </c>
      <c r="J213" s="7">
        <f t="shared" si="15"/>
        <v>0</v>
      </c>
      <c r="K213" s="7">
        <f t="shared" si="15"/>
        <v>0</v>
      </c>
      <c r="L213" s="7">
        <f t="shared" si="15"/>
        <v>0</v>
      </c>
      <c r="M213" s="7">
        <f t="shared" si="15"/>
        <v>0.75</v>
      </c>
      <c r="N213" s="7">
        <f t="shared" si="15"/>
        <v>0</v>
      </c>
      <c r="O213" s="7">
        <f t="shared" si="15"/>
        <v>0</v>
      </c>
      <c r="P213" s="10"/>
      <c r="Q213" s="10"/>
      <c r="R213" s="10"/>
      <c r="S213" s="10"/>
      <c r="T213" s="10"/>
      <c r="U213" s="10"/>
      <c r="V213" s="10"/>
      <c r="W213" s="10"/>
      <c r="X213" s="10"/>
      <c r="Y213" s="10"/>
      <c r="Z213" s="10"/>
    </row>
    <row r="214" spans="1:26" x14ac:dyDescent="0.3">
      <c r="B214" s="15"/>
      <c r="C214" s="15"/>
      <c r="D214" s="15"/>
      <c r="E214" s="15"/>
      <c r="F214" s="15"/>
      <c r="G214" s="15"/>
      <c r="H214" s="15"/>
    </row>
    <row r="215" spans="1:26" s="1" customFormat="1" x14ac:dyDescent="0.3">
      <c r="A215" s="10"/>
      <c r="B215" s="18" t="s">
        <v>1406</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s="1" customFormat="1" x14ac:dyDescent="0.3">
      <c r="A216" s="10"/>
      <c r="B216" s="3"/>
      <c r="C216" s="11" t="s">
        <v>1210</v>
      </c>
      <c r="D216" s="11" t="s">
        <v>1209</v>
      </c>
      <c r="E216" s="110" t="s">
        <v>1206</v>
      </c>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t="s">
        <v>1207</v>
      </c>
      <c r="C217" s="24">
        <f>COUNTIF('SATEMA_Cleaned Data'!WV:WV,"OUI")</f>
        <v>4</v>
      </c>
      <c r="D217" s="24">
        <f>COUNTIF('SATEMA_Cleaned Data'!WV:WV,"non")</f>
        <v>0</v>
      </c>
      <c r="E217" s="111">
        <f>SUM(C217:D217)</f>
        <v>4</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ht="37.5" x14ac:dyDescent="0.3">
      <c r="A218" s="10"/>
      <c r="B218" s="53" t="s">
        <v>3310</v>
      </c>
      <c r="C218" s="7">
        <f>(C217/$B$201)</f>
        <v>1</v>
      </c>
      <c r="D218" s="7">
        <f>(D217/$B$201)</f>
        <v>0</v>
      </c>
      <c r="E218" s="100">
        <f>SUM(C218:D218)</f>
        <v>1</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8" t="s">
        <v>1270</v>
      </c>
      <c r="D220" s="10"/>
      <c r="E220" s="103" t="s">
        <v>3245</v>
      </c>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3"/>
      <c r="D221" s="11" t="s">
        <v>1271</v>
      </c>
      <c r="E221" s="11" t="s">
        <v>1272</v>
      </c>
      <c r="F221" s="11" t="s">
        <v>1273</v>
      </c>
      <c r="G221" s="11" t="s">
        <v>1274</v>
      </c>
      <c r="H221" s="11" t="s">
        <v>1205</v>
      </c>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t="s">
        <v>1207</v>
      </c>
      <c r="D222" s="4">
        <f>COUNTIF('SATEMA_Cleaned Data'!WX:WX,"1")</f>
        <v>0</v>
      </c>
      <c r="E222" s="4">
        <f>COUNTIF('SATEMA_Cleaned Data'!WY:WY,"1")</f>
        <v>0</v>
      </c>
      <c r="F222" s="4">
        <f>COUNTIF('SATEMA_Cleaned Data'!WZ:WZ,"1")</f>
        <v>0</v>
      </c>
      <c r="G222" s="4">
        <f>COUNTIF('SATEMA_Cleaned Data'!XA:XA,"1")</f>
        <v>0</v>
      </c>
      <c r="H222" s="4">
        <f>COUNTIF('SATEMA_Cleaned Data'!XB:XB,"1")</f>
        <v>0</v>
      </c>
      <c r="I222" s="10"/>
      <c r="J222" s="10"/>
      <c r="K222" s="10"/>
      <c r="L222" s="10"/>
      <c r="M222" s="10"/>
      <c r="N222" s="10"/>
      <c r="O222" s="10"/>
      <c r="P222" s="10"/>
      <c r="Q222" s="10"/>
      <c r="R222" s="10"/>
      <c r="S222" s="10"/>
      <c r="T222" s="10"/>
      <c r="U222" s="10"/>
      <c r="V222" s="10"/>
      <c r="W222" s="10"/>
      <c r="X222" s="10"/>
      <c r="Y222" s="10"/>
      <c r="Z222" s="10"/>
    </row>
    <row r="223" spans="1:26" s="1" customFormat="1" ht="49" x14ac:dyDescent="0.3">
      <c r="A223" s="10"/>
      <c r="B223" s="10"/>
      <c r="C223" s="53" t="s">
        <v>3311</v>
      </c>
      <c r="D223" s="7" t="e">
        <f>D222/$D$217</f>
        <v>#DIV/0!</v>
      </c>
      <c r="E223" s="7" t="e">
        <f t="shared" ref="E223:H223" si="16">E222/$D$217</f>
        <v>#DIV/0!</v>
      </c>
      <c r="F223" s="7" t="e">
        <f t="shared" si="16"/>
        <v>#DIV/0!</v>
      </c>
      <c r="G223" s="7" t="e">
        <f t="shared" si="16"/>
        <v>#DIV/0!</v>
      </c>
      <c r="H223" s="7" t="e">
        <f t="shared" si="16"/>
        <v>#DIV/0!</v>
      </c>
      <c r="I223" s="10"/>
      <c r="J223" s="10"/>
      <c r="K223" s="10"/>
      <c r="L223" s="10"/>
      <c r="M223" s="10"/>
      <c r="N223" s="10"/>
      <c r="O223" s="10"/>
      <c r="P223" s="10"/>
      <c r="Q223" s="10"/>
      <c r="R223" s="10"/>
      <c r="S223" s="10"/>
      <c r="T223" s="10"/>
      <c r="U223" s="10"/>
      <c r="V223" s="10"/>
      <c r="W223" s="10"/>
      <c r="X223" s="10"/>
      <c r="Y223" s="10"/>
      <c r="Z223" s="10"/>
    </row>
    <row r="225" spans="1:13" ht="15.5" x14ac:dyDescent="0.35">
      <c r="A225" s="9" t="s">
        <v>1301</v>
      </c>
      <c r="C225" s="103" t="s">
        <v>3245</v>
      </c>
    </row>
    <row r="226" spans="1:13" s="36" customFormat="1" ht="84" x14ac:dyDescent="0.35">
      <c r="A226" s="8" t="s">
        <v>2081</v>
      </c>
      <c r="B226" s="8" t="s">
        <v>1483</v>
      </c>
      <c r="C226" s="8" t="s">
        <v>2082</v>
      </c>
      <c r="D226" s="8" t="s">
        <v>2083</v>
      </c>
      <c r="E226" s="8" t="s">
        <v>2084</v>
      </c>
      <c r="F226" s="8" t="s">
        <v>1484</v>
      </c>
      <c r="G226" s="8" t="s">
        <v>1268</v>
      </c>
      <c r="H226" s="8" t="s">
        <v>2085</v>
      </c>
      <c r="I226" s="8" t="s">
        <v>2086</v>
      </c>
      <c r="J226" s="8" t="s">
        <v>2087</v>
      </c>
      <c r="K226" s="8" t="s">
        <v>2088</v>
      </c>
      <c r="L226" s="8" t="s">
        <v>1905</v>
      </c>
      <c r="M226" s="8" t="s">
        <v>1220</v>
      </c>
    </row>
    <row r="227" spans="1:13" x14ac:dyDescent="0.3">
      <c r="A227" s="24">
        <f>COUNTIF('SATEMA_Cleaned Data'!XE:XE,"1")</f>
        <v>1</v>
      </c>
      <c r="B227" s="24">
        <f>COUNTIF('SATEMA_Cleaned Data'!XF:XF,"1")</f>
        <v>1</v>
      </c>
      <c r="C227" s="24">
        <f>COUNTIF('SATEMA_Cleaned Data'!XG:XG,"1")</f>
        <v>1</v>
      </c>
      <c r="D227" s="24">
        <f>COUNTIF('SATEMA_Cleaned Data'!XH:XH,"1")</f>
        <v>4</v>
      </c>
      <c r="E227" s="24">
        <f>COUNTIF('SATEMA_Cleaned Data'!XI:XI,"1")</f>
        <v>4</v>
      </c>
      <c r="F227" s="24">
        <f>COUNTIF('SATEMA_Cleaned Data'!XJ:XJ,"1")</f>
        <v>3</v>
      </c>
      <c r="G227" s="24">
        <f>COUNTIF('SATEMA_Cleaned Data'!XK:XK,"1")</f>
        <v>4</v>
      </c>
      <c r="H227" s="24">
        <f>COUNTIF('SATEMA_Cleaned Data'!XL:XL,"1")</f>
        <v>4</v>
      </c>
      <c r="I227" s="24">
        <f>COUNTIF('SATEMA_Cleaned Data'!XM:XM,"1")</f>
        <v>3</v>
      </c>
      <c r="J227" s="24">
        <f>COUNTIF('SATEMA_Cleaned Data'!XN:XN,"1")</f>
        <v>3</v>
      </c>
      <c r="K227" s="24">
        <f>COUNTIF('SATEMA_Cleaned Data'!XO:XO,"1")</f>
        <v>3</v>
      </c>
      <c r="L227" s="24">
        <f>COUNTIF('SATEMA_Cleaned Data'!XP:XP,"1")</f>
        <v>0</v>
      </c>
      <c r="M227" s="24">
        <f>COUNTIF('SATEMA_Cleaned Data'!XQ:XQ,"1")</f>
        <v>0</v>
      </c>
    </row>
    <row r="228" spans="1:13" x14ac:dyDescent="0.3">
      <c r="M228" s="74"/>
    </row>
    <row r="229" spans="1:13" ht="15.5" x14ac:dyDescent="0.35">
      <c r="A229" s="9" t="s">
        <v>1485</v>
      </c>
    </row>
    <row r="230" spans="1:13" ht="15.5" x14ac:dyDescent="0.35">
      <c r="A230" s="29" t="s">
        <v>1486</v>
      </c>
    </row>
    <row r="231" spans="1:13" x14ac:dyDescent="0.3">
      <c r="A231" s="3"/>
      <c r="B231" s="8" t="s">
        <v>1210</v>
      </c>
      <c r="C231" s="8" t="s">
        <v>1209</v>
      </c>
      <c r="D231" s="110" t="s">
        <v>1206</v>
      </c>
    </row>
    <row r="232" spans="1:13" x14ac:dyDescent="0.3">
      <c r="A232" s="3" t="s">
        <v>1207</v>
      </c>
      <c r="B232" s="4">
        <f>COUNTIF('SATEMA_Cleaned Data'!XT:XT,"OUI")</f>
        <v>2</v>
      </c>
      <c r="C232" s="4">
        <f>COUNTIF('SATEMA_Cleaned Data'!XT:XT,"non")</f>
        <v>2</v>
      </c>
      <c r="D232" s="111">
        <f>SUM(B232:C232)</f>
        <v>4</v>
      </c>
    </row>
    <row r="233" spans="1:13" s="36" customFormat="1" ht="37" x14ac:dyDescent="0.3">
      <c r="A233" s="54" t="s">
        <v>3301</v>
      </c>
      <c r="B233" s="120">
        <f>(B232/$E$9)</f>
        <v>0.5</v>
      </c>
      <c r="C233" s="120">
        <f>(C232/$E$9)</f>
        <v>0.5</v>
      </c>
      <c r="D233" s="100">
        <f>SUM(B233:C233)</f>
        <v>1</v>
      </c>
    </row>
    <row r="235" spans="1:13" x14ac:dyDescent="0.3">
      <c r="B235" s="18" t="s">
        <v>1487</v>
      </c>
      <c r="D235" s="103" t="s">
        <v>3245</v>
      </c>
    </row>
    <row r="236" spans="1:13" s="36" customFormat="1" ht="56" x14ac:dyDescent="0.3">
      <c r="B236" s="3"/>
      <c r="C236" s="11" t="s">
        <v>1488</v>
      </c>
      <c r="D236" s="11" t="s">
        <v>1489</v>
      </c>
      <c r="E236" s="11" t="s">
        <v>1490</v>
      </c>
      <c r="F236" s="11" t="s">
        <v>1491</v>
      </c>
      <c r="G236" s="11" t="s">
        <v>1492</v>
      </c>
      <c r="H236" s="11" t="s">
        <v>1493</v>
      </c>
      <c r="I236" s="11" t="s">
        <v>3259</v>
      </c>
      <c r="J236" s="11" t="s">
        <v>1205</v>
      </c>
    </row>
    <row r="237" spans="1:13" x14ac:dyDescent="0.3">
      <c r="B237" s="3" t="s">
        <v>1207</v>
      </c>
      <c r="C237" s="24">
        <f>COUNTIF('SATEMA_Cleaned Data'!XV:XV,"1")</f>
        <v>1</v>
      </c>
      <c r="D237" s="24">
        <f>COUNTIF('SATEMA_Cleaned Data'!XW:XW,"1")</f>
        <v>1</v>
      </c>
      <c r="E237" s="24">
        <f>COUNTIF('SATEMA_Cleaned Data'!XX:XX,"1")</f>
        <v>1</v>
      </c>
      <c r="F237" s="24">
        <f>COUNTIF('SATEMA_Cleaned Data'!XY:XY,"1")</f>
        <v>2</v>
      </c>
      <c r="G237" s="24">
        <f>COUNTIF('SATEMA_Cleaned Data'!XZ:XZ,"1")</f>
        <v>1</v>
      </c>
      <c r="H237" s="24">
        <f>COUNTIF('SATEMA_Cleaned Data'!YA:YA,"1")</f>
        <v>0</v>
      </c>
      <c r="I237" s="24">
        <f>COUNTIF('SATEMA_Cleaned Data'!YB:YB,"1")</f>
        <v>0</v>
      </c>
      <c r="J237" s="24">
        <f>COUNTIF('SATEMA_Cleaned Data'!YC:YC,"1")</f>
        <v>0</v>
      </c>
    </row>
    <row r="238" spans="1:13" ht="37" x14ac:dyDescent="0.3">
      <c r="B238" s="54" t="s">
        <v>3313</v>
      </c>
      <c r="C238" s="120">
        <f>(C237/$B$232)</f>
        <v>0.5</v>
      </c>
      <c r="D238" s="120">
        <f t="shared" ref="D238:J238" si="17">(D237/$B$232)</f>
        <v>0.5</v>
      </c>
      <c r="E238" s="120">
        <f t="shared" si="17"/>
        <v>0.5</v>
      </c>
      <c r="F238" s="120">
        <f t="shared" si="17"/>
        <v>1</v>
      </c>
      <c r="G238" s="120">
        <f t="shared" si="17"/>
        <v>0.5</v>
      </c>
      <c r="H238" s="120">
        <f t="shared" si="17"/>
        <v>0</v>
      </c>
      <c r="I238" s="120">
        <f t="shared" si="17"/>
        <v>0</v>
      </c>
      <c r="J238" s="120">
        <f t="shared" si="17"/>
        <v>0</v>
      </c>
    </row>
    <row r="240" spans="1:13" ht="15.5" x14ac:dyDescent="0.35">
      <c r="A240" s="29" t="s">
        <v>1494</v>
      </c>
    </row>
    <row r="241" spans="1:10" x14ac:dyDescent="0.3">
      <c r="A241" s="3"/>
      <c r="B241" s="8" t="s">
        <v>1210</v>
      </c>
      <c r="C241" s="8" t="s">
        <v>1209</v>
      </c>
      <c r="D241" s="110" t="s">
        <v>1206</v>
      </c>
    </row>
    <row r="242" spans="1:10" x14ac:dyDescent="0.3">
      <c r="A242" s="3" t="s">
        <v>1207</v>
      </c>
      <c r="B242" s="4">
        <f>COUNTIF('SATEMA_Cleaned Data'!YE:YE,"OUI")</f>
        <v>3</v>
      </c>
      <c r="C242" s="4">
        <f>COUNTIF('SATEMA_Cleaned Data'!YE:YE,"non")</f>
        <v>1</v>
      </c>
      <c r="D242" s="111">
        <f>SUM(B242:C242)</f>
        <v>4</v>
      </c>
    </row>
    <row r="243" spans="1:10" ht="37" x14ac:dyDescent="0.3">
      <c r="A243" s="54" t="s">
        <v>3301</v>
      </c>
      <c r="B243" s="120">
        <f>(B242/$E$9)</f>
        <v>0.75</v>
      </c>
      <c r="C243" s="120">
        <f>(C242/$E$9)</f>
        <v>0.25</v>
      </c>
      <c r="D243" s="100">
        <f>SUM(B243:C243)</f>
        <v>1</v>
      </c>
    </row>
    <row r="245" spans="1:10" ht="15.5" x14ac:dyDescent="0.35">
      <c r="A245" s="29" t="s">
        <v>1495</v>
      </c>
    </row>
    <row r="246" spans="1:10" x14ac:dyDescent="0.3">
      <c r="A246" s="3"/>
      <c r="B246" s="8" t="s">
        <v>1210</v>
      </c>
      <c r="C246" s="8" t="s">
        <v>1209</v>
      </c>
      <c r="D246" s="110" t="s">
        <v>1206</v>
      </c>
    </row>
    <row r="247" spans="1:10" x14ac:dyDescent="0.3">
      <c r="A247" s="3" t="s">
        <v>1207</v>
      </c>
      <c r="B247" s="4">
        <f>COUNTIF('SATEMA_Cleaned Data'!YF:YF,"OUI")</f>
        <v>4</v>
      </c>
      <c r="C247" s="4">
        <f>COUNTIF('SATEMA_Cleaned Data'!YF:YF,"non")</f>
        <v>0</v>
      </c>
      <c r="D247" s="111">
        <f>SUM(B247:C247)</f>
        <v>4</v>
      </c>
    </row>
    <row r="248" spans="1:10" ht="37" x14ac:dyDescent="0.3">
      <c r="A248" s="54" t="s">
        <v>3301</v>
      </c>
      <c r="B248" s="120">
        <f>(B247/$E$9)</f>
        <v>1</v>
      </c>
      <c r="C248" s="120">
        <f>(C247/$E$9)</f>
        <v>0</v>
      </c>
      <c r="D248" s="100">
        <f>SUM(B248:C248)</f>
        <v>1</v>
      </c>
    </row>
    <row r="250" spans="1:10" ht="15.5" x14ac:dyDescent="0.35">
      <c r="A250" s="29" t="s">
        <v>1496</v>
      </c>
    </row>
    <row r="251" spans="1:10" x14ac:dyDescent="0.3">
      <c r="A251" s="3"/>
      <c r="B251" s="8" t="s">
        <v>1210</v>
      </c>
      <c r="C251" s="8" t="s">
        <v>1209</v>
      </c>
      <c r="D251" s="110" t="s">
        <v>1206</v>
      </c>
    </row>
    <row r="252" spans="1:10" x14ac:dyDescent="0.3">
      <c r="A252" s="3" t="s">
        <v>1207</v>
      </c>
      <c r="B252" s="4">
        <f>COUNTIF('SATEMA_Cleaned Data'!YH:YH,"OUI")</f>
        <v>4</v>
      </c>
      <c r="C252" s="4">
        <f>COUNTIF('SATEMA_Cleaned Data'!YH:YH,"non")</f>
        <v>0</v>
      </c>
      <c r="D252" s="111">
        <f>SUM(B252:C252)</f>
        <v>4</v>
      </c>
    </row>
    <row r="253" spans="1:10" ht="37" x14ac:dyDescent="0.3">
      <c r="A253" s="54" t="s">
        <v>3301</v>
      </c>
      <c r="B253" s="120">
        <f>(B252/$E$9)</f>
        <v>1</v>
      </c>
      <c r="C253" s="120">
        <f>(C252/$E$9)</f>
        <v>0</v>
      </c>
      <c r="D253" s="100">
        <f>SUM(B253:C253)</f>
        <v>1</v>
      </c>
    </row>
    <row r="255" spans="1:10" x14ac:dyDescent="0.3">
      <c r="B255" s="18" t="s">
        <v>1497</v>
      </c>
      <c r="D255" s="103" t="s">
        <v>3245</v>
      </c>
    </row>
    <row r="256" spans="1:10" s="36" customFormat="1" ht="42" x14ac:dyDescent="0.3">
      <c r="B256" s="3"/>
      <c r="C256" s="11" t="s">
        <v>1488</v>
      </c>
      <c r="D256" s="11" t="s">
        <v>1498</v>
      </c>
      <c r="E256" s="11" t="s">
        <v>1503</v>
      </c>
      <c r="F256" s="11" t="s">
        <v>1499</v>
      </c>
      <c r="G256" s="11" t="s">
        <v>1500</v>
      </c>
      <c r="H256" s="11" t="s">
        <v>1501</v>
      </c>
      <c r="I256" s="11" t="s">
        <v>1502</v>
      </c>
      <c r="J256" s="11" t="s">
        <v>1220</v>
      </c>
    </row>
    <row r="257" spans="1:10" x14ac:dyDescent="0.3">
      <c r="B257" s="3" t="s">
        <v>1207</v>
      </c>
      <c r="C257" s="24">
        <f>COUNTIF('SATEMA_Cleaned Data'!YJ:YJ,"1")</f>
        <v>1</v>
      </c>
      <c r="D257" s="24">
        <f>COUNTIF('SATEMA_Cleaned Data'!YK:YK,"1")</f>
        <v>1</v>
      </c>
      <c r="E257" s="24">
        <f>COUNTIF('SATEMA_Cleaned Data'!YL:YL,"1")</f>
        <v>4</v>
      </c>
      <c r="F257" s="24">
        <f>COUNTIF('SATEMA_Cleaned Data'!YM:YM,"1")</f>
        <v>4</v>
      </c>
      <c r="G257" s="24">
        <f>COUNTIF('SATEMA_Cleaned Data'!YN:YN,"1")</f>
        <v>1</v>
      </c>
      <c r="H257" s="24">
        <f>COUNTIF('SATEMA_Cleaned Data'!YO:YO,"1")</f>
        <v>1</v>
      </c>
      <c r="I257" s="24">
        <f>COUNTIF('SATEMA_Cleaned Data'!YP:YP,"1")</f>
        <v>0</v>
      </c>
      <c r="J257" s="24">
        <f>COUNTIF('SATEMA_Cleaned Data'!YQ:YQ,"1")</f>
        <v>0</v>
      </c>
    </row>
    <row r="258" spans="1:10" ht="49" x14ac:dyDescent="0.3">
      <c r="B258" s="53" t="s">
        <v>3314</v>
      </c>
      <c r="C258" s="120">
        <f>C257/$B$252</f>
        <v>0.25</v>
      </c>
      <c r="D258" s="120">
        <f t="shared" ref="D258:J258" si="18">D257/$B$252</f>
        <v>0.25</v>
      </c>
      <c r="E258" s="120">
        <f t="shared" si="18"/>
        <v>1</v>
      </c>
      <c r="F258" s="120">
        <f t="shared" si="18"/>
        <v>1</v>
      </c>
      <c r="G258" s="120">
        <f t="shared" si="18"/>
        <v>0.25</v>
      </c>
      <c r="H258" s="120">
        <f t="shared" si="18"/>
        <v>0.25</v>
      </c>
      <c r="I258" s="120">
        <f t="shared" si="18"/>
        <v>0</v>
      </c>
      <c r="J258" s="120">
        <f t="shared" si="18"/>
        <v>0</v>
      </c>
    </row>
    <row r="260" spans="1:10" x14ac:dyDescent="0.3">
      <c r="B260" s="18" t="s">
        <v>1504</v>
      </c>
    </row>
    <row r="261" spans="1:10" x14ac:dyDescent="0.3">
      <c r="B261" s="3"/>
      <c r="C261" s="6" t="s">
        <v>1210</v>
      </c>
      <c r="D261" s="6" t="s">
        <v>1209</v>
      </c>
      <c r="E261" s="110" t="s">
        <v>1206</v>
      </c>
    </row>
    <row r="262" spans="1:10" x14ac:dyDescent="0.3">
      <c r="B262" s="3" t="s">
        <v>1207</v>
      </c>
      <c r="C262" s="4">
        <f>COUNTIF('SATEMA_Cleaned Data'!YS:YS,"oui")</f>
        <v>1</v>
      </c>
      <c r="D262" s="4">
        <f>COUNTIF('SATEMA_Cleaned Data'!YS:YS,"non")</f>
        <v>3</v>
      </c>
      <c r="E262" s="111">
        <f>SUM(C262:D262)</f>
        <v>4</v>
      </c>
    </row>
    <row r="263" spans="1:10" ht="49" x14ac:dyDescent="0.3">
      <c r="B263" s="53" t="s">
        <v>3314</v>
      </c>
      <c r="C263" s="7">
        <f>(C262/$B$252)</f>
        <v>0.25</v>
      </c>
      <c r="D263" s="7">
        <f>(D262/$B$252)</f>
        <v>0.75</v>
      </c>
      <c r="E263" s="100">
        <f>SUM(C263:D263)</f>
        <v>1</v>
      </c>
    </row>
    <row r="265" spans="1:10" x14ac:dyDescent="0.3">
      <c r="C265" s="18" t="s">
        <v>1262</v>
      </c>
      <c r="E265" s="103" t="s">
        <v>3245</v>
      </c>
    </row>
    <row r="266" spans="1:10" ht="28" x14ac:dyDescent="0.3">
      <c r="C266" s="3"/>
      <c r="D266" s="11" t="s">
        <v>1505</v>
      </c>
      <c r="E266" s="11" t="s">
        <v>1506</v>
      </c>
      <c r="F266" s="11" t="s">
        <v>1507</v>
      </c>
      <c r="G266" s="11" t="s">
        <v>1508</v>
      </c>
      <c r="H266" s="11" t="s">
        <v>1220</v>
      </c>
    </row>
    <row r="267" spans="1:10" x14ac:dyDescent="0.3">
      <c r="C267" s="3" t="s">
        <v>1207</v>
      </c>
      <c r="D267" s="24">
        <f>COUNTIF('SATEMA_Cleaned Data'!YU:YU,"1")</f>
        <v>0</v>
      </c>
      <c r="E267" s="24">
        <f>COUNTIF('SATEMA_Cleaned Data'!YV:YV,"1")</f>
        <v>0</v>
      </c>
      <c r="F267" s="24">
        <f>COUNTIF('SATEMA_Cleaned Data'!YW:YW,"1")</f>
        <v>1</v>
      </c>
      <c r="G267" s="24">
        <f>COUNTIF('SATEMA_Cleaned Data'!YX:YX,"1")</f>
        <v>0</v>
      </c>
      <c r="H267" s="24">
        <f>COUNTIF('SATEMA_Cleaned Data'!YY:YY,"1")</f>
        <v>0</v>
      </c>
    </row>
    <row r="268" spans="1:10" ht="60.5" x14ac:dyDescent="0.3">
      <c r="C268" s="53" t="s">
        <v>3314</v>
      </c>
      <c r="D268" s="7">
        <f>(D267/$B$252)</f>
        <v>0</v>
      </c>
      <c r="E268" s="7">
        <f t="shared" ref="E268:H268" si="19">(E267/$B$252)</f>
        <v>0</v>
      </c>
      <c r="F268" s="7">
        <f t="shared" si="19"/>
        <v>0.25</v>
      </c>
      <c r="G268" s="7">
        <f t="shared" si="19"/>
        <v>0</v>
      </c>
      <c r="H268" s="7">
        <f t="shared" si="19"/>
        <v>0</v>
      </c>
    </row>
    <row r="270" spans="1:10" ht="15.5" x14ac:dyDescent="0.35">
      <c r="A270" s="29" t="s">
        <v>1509</v>
      </c>
    </row>
    <row r="271" spans="1:10" x14ac:dyDescent="0.3">
      <c r="A271" s="3"/>
      <c r="B271" s="8" t="s">
        <v>1210</v>
      </c>
      <c r="C271" s="8" t="s">
        <v>1209</v>
      </c>
      <c r="D271" s="110" t="s">
        <v>1206</v>
      </c>
    </row>
    <row r="272" spans="1:10" x14ac:dyDescent="0.3">
      <c r="A272" s="3" t="s">
        <v>1207</v>
      </c>
      <c r="B272" s="4">
        <f>COUNTIF('SATEMA_Cleaned Data'!ZA:ZA,"OUI")</f>
        <v>4</v>
      </c>
      <c r="C272" s="4">
        <f>COUNTIF('SATEMA_Cleaned Data'!ZA:ZA,"non")</f>
        <v>0</v>
      </c>
      <c r="D272" s="111">
        <f>SUM(B272:C272)</f>
        <v>4</v>
      </c>
    </row>
    <row r="273" spans="1:4" ht="37.5" x14ac:dyDescent="0.3">
      <c r="A273" s="53" t="s">
        <v>3290</v>
      </c>
      <c r="B273" s="39">
        <f>(B272/$E$9)</f>
        <v>1</v>
      </c>
      <c r="C273" s="39">
        <f>(C272/$E$9)</f>
        <v>0</v>
      </c>
      <c r="D273" s="100">
        <f>SUM(B273:C273)</f>
        <v>1</v>
      </c>
    </row>
    <row r="274" spans="1:4" x14ac:dyDescent="0.3">
      <c r="D274" s="124"/>
    </row>
    <row r="275" spans="1:4" ht="15.5" x14ac:dyDescent="0.35">
      <c r="A275" s="29" t="s">
        <v>1511</v>
      </c>
    </row>
    <row r="276" spans="1:4" x14ac:dyDescent="0.3">
      <c r="A276" s="3"/>
      <c r="B276" s="8" t="s">
        <v>1210</v>
      </c>
      <c r="C276" s="8" t="s">
        <v>1209</v>
      </c>
      <c r="D276" s="110" t="s">
        <v>1206</v>
      </c>
    </row>
    <row r="277" spans="1:4" x14ac:dyDescent="0.3">
      <c r="A277" s="3" t="s">
        <v>1207</v>
      </c>
      <c r="B277" s="4">
        <f>COUNTIF('SATEMA_Cleaned Data'!ZF:ZF,"OUI")</f>
        <v>0</v>
      </c>
      <c r="C277" s="4">
        <f>COUNTIF('SATEMA_Cleaned Data'!ZF:ZF,"non")</f>
        <v>4</v>
      </c>
      <c r="D277" s="111">
        <f>SUM(B277:C277)</f>
        <v>4</v>
      </c>
    </row>
    <row r="278" spans="1:4" ht="37.5" x14ac:dyDescent="0.3">
      <c r="A278" s="53" t="s">
        <v>3290</v>
      </c>
      <c r="B278" s="39">
        <f>(B277/$E$9)</f>
        <v>0</v>
      </c>
      <c r="C278" s="39">
        <f>(C277/$E$9)</f>
        <v>1</v>
      </c>
      <c r="D278" s="100">
        <f>SUM(B278:C278)</f>
        <v>1</v>
      </c>
    </row>
    <row r="279" spans="1:4" x14ac:dyDescent="0.3">
      <c r="D279" s="124"/>
    </row>
    <row r="280" spans="1:4" ht="15.5" x14ac:dyDescent="0.35">
      <c r="A280" s="29" t="s">
        <v>1510</v>
      </c>
    </row>
    <row r="281" spans="1:4" x14ac:dyDescent="0.3">
      <c r="A281" s="3"/>
      <c r="B281" s="8" t="s">
        <v>1210</v>
      </c>
      <c r="C281" s="8" t="s">
        <v>1209</v>
      </c>
      <c r="D281" s="110" t="s">
        <v>1206</v>
      </c>
    </row>
    <row r="282" spans="1:4" x14ac:dyDescent="0.3">
      <c r="A282" s="3" t="s">
        <v>1207</v>
      </c>
      <c r="B282" s="4">
        <f>COUNTIF('SATEMA_Cleaned Data'!ZK:ZK,"OUI")</f>
        <v>3</v>
      </c>
      <c r="C282" s="4">
        <f>COUNTIF('SATEMA_Cleaned Data'!ZK:ZK,"non")</f>
        <v>1</v>
      </c>
      <c r="D282" s="111">
        <f>SUM(B282:C282)</f>
        <v>4</v>
      </c>
    </row>
    <row r="283" spans="1:4" ht="37.5" x14ac:dyDescent="0.3">
      <c r="A283" s="53" t="s">
        <v>3290</v>
      </c>
      <c r="B283" s="39">
        <f>(B282/$E$9)</f>
        <v>0.75</v>
      </c>
      <c r="C283" s="39">
        <f>(C282/$E$9)</f>
        <v>0.25</v>
      </c>
      <c r="D283" s="100">
        <f>SUM(B283:C283)</f>
        <v>1</v>
      </c>
    </row>
    <row r="284" spans="1:4" x14ac:dyDescent="0.3">
      <c r="D284" s="124"/>
    </row>
    <row r="285" spans="1:4" ht="15.5" x14ac:dyDescent="0.35">
      <c r="A285" s="29" t="s">
        <v>1512</v>
      </c>
    </row>
    <row r="286" spans="1:4" x14ac:dyDescent="0.3">
      <c r="A286" s="3"/>
      <c r="B286" s="8" t="s">
        <v>1210</v>
      </c>
      <c r="C286" s="8" t="s">
        <v>1209</v>
      </c>
      <c r="D286" s="110" t="s">
        <v>1206</v>
      </c>
    </row>
    <row r="287" spans="1:4" x14ac:dyDescent="0.3">
      <c r="A287" s="3" t="s">
        <v>1207</v>
      </c>
      <c r="B287" s="4">
        <f>COUNTIF('SATEMA_Cleaned Data'!ZL:ZL,"OUI")</f>
        <v>0</v>
      </c>
      <c r="C287" s="4">
        <f>COUNTIF('SATEMA_Cleaned Data'!ZL:ZL,"non")</f>
        <v>4</v>
      </c>
      <c r="D287" s="111">
        <f>SUM(B287:C287)</f>
        <v>4</v>
      </c>
    </row>
    <row r="288" spans="1:4" ht="37.5" x14ac:dyDescent="0.3">
      <c r="A288" s="53" t="s">
        <v>3290</v>
      </c>
      <c r="B288" s="39">
        <f>(B287/$E$9)</f>
        <v>0</v>
      </c>
      <c r="C288" s="39">
        <f>(C287/$E$9)</f>
        <v>1</v>
      </c>
      <c r="D288" s="100">
        <f>SUM(B288:C288)</f>
        <v>1</v>
      </c>
    </row>
    <row r="289" spans="1:4" x14ac:dyDescent="0.3">
      <c r="D289" s="124"/>
    </row>
    <row r="290" spans="1:4" ht="15.5" x14ac:dyDescent="0.35">
      <c r="A290" s="29" t="s">
        <v>1513</v>
      </c>
    </row>
    <row r="291" spans="1:4" x14ac:dyDescent="0.3">
      <c r="A291" s="3"/>
      <c r="B291" s="8" t="s">
        <v>1210</v>
      </c>
      <c r="C291" s="8" t="s">
        <v>1209</v>
      </c>
      <c r="D291" s="110" t="s">
        <v>1206</v>
      </c>
    </row>
    <row r="292" spans="1:4" x14ac:dyDescent="0.3">
      <c r="A292" s="3" t="s">
        <v>1207</v>
      </c>
      <c r="B292" s="4">
        <f>COUNTIF('SATEMA_Cleaned Data'!ZN:ZN,"OUI")</f>
        <v>4</v>
      </c>
      <c r="C292" s="4">
        <f>COUNTIF('SATEMA_Cleaned Data'!ZN:ZN,"non")</f>
        <v>0</v>
      </c>
      <c r="D292" s="111">
        <f>SUM(B292:C292)</f>
        <v>4</v>
      </c>
    </row>
    <row r="293" spans="1:4" ht="37.5" x14ac:dyDescent="0.3">
      <c r="A293" s="53" t="s">
        <v>3290</v>
      </c>
      <c r="B293" s="39">
        <f>(B292/$E$9)</f>
        <v>1</v>
      </c>
      <c r="C293" s="39">
        <f>(C292/$E$9)</f>
        <v>0</v>
      </c>
      <c r="D293" s="100">
        <f>SUM(B293:C293)</f>
        <v>1</v>
      </c>
    </row>
    <row r="294" spans="1:4" x14ac:dyDescent="0.3">
      <c r="D294" s="124"/>
    </row>
    <row r="295" spans="1:4" ht="15.5" x14ac:dyDescent="0.35">
      <c r="A295" s="29" t="s">
        <v>1514</v>
      </c>
    </row>
    <row r="296" spans="1:4" x14ac:dyDescent="0.3">
      <c r="A296" s="3"/>
      <c r="B296" s="8" t="s">
        <v>1210</v>
      </c>
      <c r="C296" s="8" t="s">
        <v>1209</v>
      </c>
      <c r="D296" s="110" t="s">
        <v>1206</v>
      </c>
    </row>
    <row r="297" spans="1:4" x14ac:dyDescent="0.3">
      <c r="A297" s="3" t="s">
        <v>1207</v>
      </c>
      <c r="B297" s="4">
        <f>COUNTIF('SATEMA_Cleaned Data'!ZO:ZO,"OUI")</f>
        <v>4</v>
      </c>
      <c r="C297" s="4">
        <f>COUNTIF('SATEMA_Cleaned Data'!ZO:ZO,"non")</f>
        <v>0</v>
      </c>
      <c r="D297" s="111">
        <f>SUM(B297:C297)</f>
        <v>4</v>
      </c>
    </row>
    <row r="298" spans="1:4" ht="37.5" x14ac:dyDescent="0.3">
      <c r="A298" s="53" t="s">
        <v>3290</v>
      </c>
      <c r="B298" s="39">
        <f>(B297/$E$9)</f>
        <v>1</v>
      </c>
      <c r="C298" s="39">
        <f>(C297/$E$9)</f>
        <v>0</v>
      </c>
      <c r="D298" s="100">
        <f>SUM(B298:C298)</f>
        <v>1</v>
      </c>
    </row>
    <row r="299" spans="1:4" x14ac:dyDescent="0.3">
      <c r="A299" s="97"/>
      <c r="B299" s="15"/>
      <c r="C299" s="15"/>
      <c r="D299" s="124"/>
    </row>
    <row r="300" spans="1:4" ht="15.5" x14ac:dyDescent="0.35">
      <c r="A300" s="29" t="s">
        <v>1515</v>
      </c>
    </row>
    <row r="301" spans="1:4" x14ac:dyDescent="0.3">
      <c r="A301" s="3"/>
      <c r="B301" s="8" t="s">
        <v>1210</v>
      </c>
      <c r="C301" s="8" t="s">
        <v>1209</v>
      </c>
      <c r="D301" s="110" t="s">
        <v>1206</v>
      </c>
    </row>
    <row r="302" spans="1:4" x14ac:dyDescent="0.3">
      <c r="A302" s="3" t="s">
        <v>1207</v>
      </c>
      <c r="B302" s="4">
        <f>COUNTIF('SATEMA_Cleaned Data'!ZQ:ZQ,"OUI")</f>
        <v>0</v>
      </c>
      <c r="C302" s="4">
        <f>COUNTIF('SATEMA_Cleaned Data'!ZQ:ZQ,"non")</f>
        <v>4</v>
      </c>
      <c r="D302" s="111">
        <f>SUM(B302:C302)</f>
        <v>4</v>
      </c>
    </row>
    <row r="303" spans="1:4" ht="37.5" x14ac:dyDescent="0.3">
      <c r="A303" s="53" t="s">
        <v>3290</v>
      </c>
      <c r="B303" s="39">
        <f>(B302/$E$9)</f>
        <v>0</v>
      </c>
      <c r="C303" s="39">
        <f>(C302/$E$9)</f>
        <v>1</v>
      </c>
      <c r="D303" s="100">
        <f>SUM(B303:C303)</f>
        <v>1</v>
      </c>
    </row>
  </sheetData>
  <mergeCells count="2">
    <mergeCell ref="A4:B4"/>
    <mergeCell ref="A138:D138"/>
  </mergeCells>
  <conditionalFormatting sqref="A94:M95 D99:M101 D105:M106 F102:M104 D110:M110 J107:M109 B92:N92 D116 D120:M120 L117:M119 F96:M98 F116:M116">
    <cfRule type="colorScale" priority="52">
      <colorScale>
        <cfvo type="min"/>
        <cfvo type="max"/>
        <color theme="6" tint="0.79998168889431442"/>
        <color theme="5" tint="0.39997558519241921"/>
      </colorScale>
    </cfRule>
  </conditionalFormatting>
  <conditionalFormatting sqref="B134:F134">
    <cfRule type="colorScale" priority="51">
      <colorScale>
        <cfvo type="min"/>
        <cfvo type="max"/>
        <color theme="6" tint="0.79998168889431442"/>
        <color theme="5" tint="0.39997558519241921"/>
      </colorScale>
    </cfRule>
  </conditionalFormatting>
  <conditionalFormatting sqref="D157:M157">
    <cfRule type="colorScale" priority="50">
      <colorScale>
        <cfvo type="min"/>
        <cfvo type="max"/>
        <color theme="6" tint="0.79998168889431442"/>
        <color theme="5" tint="0.39997558519241921"/>
      </colorScale>
    </cfRule>
  </conditionalFormatting>
  <conditionalFormatting sqref="B162:G162">
    <cfRule type="colorScale" priority="49">
      <colorScale>
        <cfvo type="min"/>
        <cfvo type="max"/>
        <color theme="6" tint="0.79998168889431442"/>
        <color theme="5" tint="0.39997558519241921"/>
      </colorScale>
    </cfRule>
  </conditionalFormatting>
  <conditionalFormatting sqref="B44:J44">
    <cfRule type="colorScale" priority="48">
      <colorScale>
        <cfvo type="min"/>
        <cfvo type="max"/>
        <color theme="6" tint="0.79998168889431442"/>
        <color theme="5" tint="0.39997558519241921"/>
      </colorScale>
    </cfRule>
  </conditionalFormatting>
  <conditionalFormatting sqref="D118:K118">
    <cfRule type="colorScale" priority="47">
      <colorScale>
        <cfvo type="min"/>
        <cfvo type="max"/>
        <color theme="6" tint="0.79998168889431442"/>
        <color theme="5" tint="0.39997558519241921"/>
      </colorScale>
    </cfRule>
  </conditionalFormatting>
  <conditionalFormatting sqref="B188:F188">
    <cfRule type="colorScale" priority="46">
      <colorScale>
        <cfvo type="min"/>
        <cfvo type="max"/>
        <color theme="6" tint="0.79998168889431442"/>
        <color theme="5" tint="0.39997558519241921"/>
      </colorScale>
    </cfRule>
  </conditionalFormatting>
  <conditionalFormatting sqref="A180:F181 B178:G178 E182:F184">
    <cfRule type="colorScale" priority="45">
      <colorScale>
        <cfvo type="min"/>
        <cfvo type="max"/>
        <color theme="6" tint="0.79998168889431442"/>
        <color theme="5" tint="0.39997558519241921"/>
      </colorScale>
    </cfRule>
  </conditionalFormatting>
  <conditionalFormatting sqref="A193:P193">
    <cfRule type="colorScale" priority="44">
      <colorScale>
        <cfvo type="min"/>
        <cfvo type="max"/>
        <color theme="6" tint="0.79998168889431442"/>
        <color theme="5" tint="0.39997558519241921"/>
      </colorScale>
    </cfRule>
  </conditionalFormatting>
  <conditionalFormatting sqref="A197:L197">
    <cfRule type="colorScale" priority="43">
      <colorScale>
        <cfvo type="min"/>
        <cfvo type="max"/>
        <color theme="6" tint="0.79998168889431442"/>
        <color theme="5" tint="0.39997558519241921"/>
      </colorScale>
    </cfRule>
  </conditionalFormatting>
  <conditionalFormatting sqref="A227:M227">
    <cfRule type="colorScale" priority="42">
      <colorScale>
        <cfvo type="min"/>
        <cfvo type="max"/>
        <color theme="6" tint="0.79998168889431442"/>
        <color theme="5" tint="0.39997558519241921"/>
      </colorScale>
    </cfRule>
  </conditionalFormatting>
  <conditionalFormatting sqref="C237:J237">
    <cfRule type="colorScale" priority="41">
      <colorScale>
        <cfvo type="min"/>
        <cfvo type="max"/>
        <color theme="6" tint="0.79998168889431442"/>
        <color theme="5" tint="0.39997558519241921"/>
      </colorScale>
    </cfRule>
  </conditionalFormatting>
  <conditionalFormatting sqref="C257:J257">
    <cfRule type="colorScale" priority="40">
      <colorScale>
        <cfvo type="min"/>
        <cfvo type="max"/>
        <color theme="6" tint="0.79998168889431442"/>
        <color theme="5" tint="0.39997558519241921"/>
      </colorScale>
    </cfRule>
  </conditionalFormatting>
  <conditionalFormatting sqref="D267:H267">
    <cfRule type="colorScale" priority="39">
      <colorScale>
        <cfvo type="min"/>
        <cfvo type="max"/>
        <color theme="6" tint="0.79998168889431442"/>
        <color theme="5" tint="0.39997558519241921"/>
      </colorScale>
    </cfRule>
  </conditionalFormatting>
  <conditionalFormatting sqref="B9:D9">
    <cfRule type="colorScale" priority="38">
      <colorScale>
        <cfvo type="min"/>
        <cfvo type="max"/>
        <color theme="6" tint="0.79998168889431442"/>
        <color theme="5" tint="0.39997558519241921"/>
      </colorScale>
    </cfRule>
  </conditionalFormatting>
  <conditionalFormatting sqref="C14:M14">
    <cfRule type="colorScale" priority="37">
      <colorScale>
        <cfvo type="min"/>
        <cfvo type="max"/>
        <color theme="6" tint="0.79998168889431442"/>
        <color theme="5" tint="0.39997558519241921"/>
      </colorScale>
    </cfRule>
  </conditionalFormatting>
  <conditionalFormatting sqref="C19:G19">
    <cfRule type="colorScale" priority="36">
      <colorScale>
        <cfvo type="min"/>
        <cfvo type="max"/>
        <color theme="6" tint="0.79998168889431442"/>
        <color theme="5" tint="0.39997558519241921"/>
      </colorScale>
    </cfRule>
  </conditionalFormatting>
  <conditionalFormatting sqref="C29:G29">
    <cfRule type="colorScale" priority="35">
      <colorScale>
        <cfvo type="min"/>
        <cfvo type="max"/>
        <color theme="6" tint="0.79998168889431442"/>
        <color theme="5" tint="0.39997558519241921"/>
      </colorScale>
    </cfRule>
  </conditionalFormatting>
  <conditionalFormatting sqref="B49:D49">
    <cfRule type="colorScale" priority="34">
      <colorScale>
        <cfvo type="min"/>
        <cfvo type="max"/>
        <color theme="6" tint="0.79998168889431442"/>
        <color theme="5" tint="0.39997558519241921"/>
      </colorScale>
    </cfRule>
  </conditionalFormatting>
  <conditionalFormatting sqref="C57:D57">
    <cfRule type="colorScale" priority="33">
      <colorScale>
        <cfvo type="min"/>
        <cfvo type="max"/>
        <color theme="6" tint="0.79998168889431442"/>
        <color theme="5" tint="0.39997558519241921"/>
      </colorScale>
    </cfRule>
  </conditionalFormatting>
  <conditionalFormatting sqref="C66:D66">
    <cfRule type="colorScale" priority="32">
      <colorScale>
        <cfvo type="min"/>
        <cfvo type="max"/>
        <color theme="6" tint="0.79998168889431442"/>
        <color theme="5" tint="0.39997558519241921"/>
      </colorScale>
    </cfRule>
  </conditionalFormatting>
  <conditionalFormatting sqref="B71:C71">
    <cfRule type="colorScale" priority="31">
      <colorScale>
        <cfvo type="min"/>
        <cfvo type="max"/>
        <color theme="6" tint="0.79998168889431442"/>
        <color theme="5" tint="0.39997558519241921"/>
      </colorScale>
    </cfRule>
  </conditionalFormatting>
  <conditionalFormatting sqref="B81:C81">
    <cfRule type="colorScale" priority="30">
      <colorScale>
        <cfvo type="min"/>
        <cfvo type="max"/>
        <color theme="6" tint="0.79998168889431442"/>
        <color theme="5" tint="0.39997558519241921"/>
      </colorScale>
    </cfRule>
  </conditionalFormatting>
  <conditionalFormatting sqref="B34:C34">
    <cfRule type="colorScale" priority="29">
      <colorScale>
        <cfvo type="min"/>
        <cfvo type="max"/>
        <color theme="6" tint="0.79998168889431442"/>
        <color theme="5" tint="0.39997558519241921"/>
      </colorScale>
    </cfRule>
  </conditionalFormatting>
  <conditionalFormatting sqref="C39:E39">
    <cfRule type="colorScale" priority="28">
      <colorScale>
        <cfvo type="min"/>
        <cfvo type="max"/>
        <color theme="6" tint="0.79998168889431442"/>
        <color theme="5" tint="0.39997558519241921"/>
      </colorScale>
    </cfRule>
  </conditionalFormatting>
  <conditionalFormatting sqref="B129:C129">
    <cfRule type="colorScale" priority="27">
      <colorScale>
        <cfvo type="min"/>
        <cfvo type="max"/>
        <color theme="6" tint="0.79998168889431442"/>
        <color theme="5" tint="0.39997558519241921"/>
      </colorScale>
    </cfRule>
  </conditionalFormatting>
  <conditionalFormatting sqref="B142:C142">
    <cfRule type="colorScale" priority="26">
      <colorScale>
        <cfvo type="min"/>
        <cfvo type="max"/>
        <color theme="6" tint="0.79998168889431442"/>
        <color theme="5" tint="0.39997558519241921"/>
      </colorScale>
    </cfRule>
  </conditionalFormatting>
  <conditionalFormatting sqref="D154:J154">
    <cfRule type="colorScale" priority="25">
      <colorScale>
        <cfvo type="min"/>
        <cfvo type="max"/>
        <color theme="6" tint="0.79998168889431442"/>
        <color theme="5" tint="0.39997558519241921"/>
      </colorScale>
    </cfRule>
  </conditionalFormatting>
  <conditionalFormatting sqref="D152:J152">
    <cfRule type="colorScale" priority="24">
      <colorScale>
        <cfvo type="min"/>
        <cfvo type="max"/>
        <color theme="6" tint="0.79998168889431442"/>
        <color theme="5" tint="0.39997558519241921"/>
      </colorScale>
    </cfRule>
  </conditionalFormatting>
  <conditionalFormatting sqref="C103:D103">
    <cfRule type="colorScale" priority="23">
      <colorScale>
        <cfvo type="min"/>
        <cfvo type="max"/>
        <color theme="6" tint="0.79998168889431442"/>
        <color theme="5" tint="0.39997558519241921"/>
      </colorScale>
    </cfRule>
  </conditionalFormatting>
  <conditionalFormatting sqref="K115:M115 D111 L112:M114 F111:M111">
    <cfRule type="colorScale" priority="22">
      <colorScale>
        <cfvo type="min"/>
        <cfvo type="max"/>
        <color theme="6" tint="0.79998168889431442"/>
        <color theme="5" tint="0.39997558519241921"/>
      </colorScale>
    </cfRule>
  </conditionalFormatting>
  <conditionalFormatting sqref="D115:J115 D113:K113">
    <cfRule type="colorScale" priority="21">
      <colorScale>
        <cfvo type="min"/>
        <cfvo type="max"/>
        <color theme="6" tint="0.79998168889431442"/>
        <color theme="5" tint="0.39997558519241921"/>
      </colorScale>
    </cfRule>
  </conditionalFormatting>
  <conditionalFormatting sqref="B183:C183">
    <cfRule type="colorScale" priority="20">
      <colorScale>
        <cfvo type="min"/>
        <cfvo type="max"/>
        <color theme="6" tint="0.79998168889431442"/>
        <color theme="5" tint="0.39997558519241921"/>
      </colorScale>
    </cfRule>
  </conditionalFormatting>
  <conditionalFormatting sqref="B201:C201">
    <cfRule type="colorScale" priority="19">
      <colorScale>
        <cfvo type="min"/>
        <cfvo type="max"/>
        <color theme="6" tint="0.79998168889431442"/>
        <color theme="5" tint="0.39997558519241921"/>
      </colorScale>
    </cfRule>
  </conditionalFormatting>
  <conditionalFormatting sqref="C212:O212">
    <cfRule type="colorScale" priority="18">
      <colorScale>
        <cfvo type="min"/>
        <cfvo type="max"/>
        <color theme="6" tint="0.79998168889431442"/>
        <color theme="5" tint="0.39997558519241921"/>
      </colorScale>
    </cfRule>
  </conditionalFormatting>
  <conditionalFormatting sqref="D222:H222">
    <cfRule type="colorScale" priority="17">
      <colorScale>
        <cfvo type="min"/>
        <cfvo type="max"/>
        <color theme="6" tint="0.79998168889431442"/>
        <color theme="5" tint="0.39997558519241921"/>
      </colorScale>
    </cfRule>
  </conditionalFormatting>
  <conditionalFormatting sqref="C206:I206">
    <cfRule type="colorScale" priority="16">
      <colorScale>
        <cfvo type="min"/>
        <cfvo type="max"/>
        <color theme="6" tint="0.79998168889431442"/>
        <color theme="5" tint="0.39997558519241921"/>
      </colorScale>
    </cfRule>
  </conditionalFormatting>
  <conditionalFormatting sqref="C217:D217">
    <cfRule type="colorScale" priority="15">
      <colorScale>
        <cfvo type="min"/>
        <cfvo type="max"/>
        <color theme="6" tint="0.79998168889431442"/>
        <color theme="5" tint="0.39997558519241921"/>
      </colorScale>
    </cfRule>
  </conditionalFormatting>
  <conditionalFormatting sqref="B232:C232">
    <cfRule type="colorScale" priority="14">
      <colorScale>
        <cfvo type="min"/>
        <cfvo type="max"/>
        <color theme="6" tint="0.79998168889431442"/>
        <color theme="5" tint="0.39997558519241921"/>
      </colorScale>
    </cfRule>
  </conditionalFormatting>
  <conditionalFormatting sqref="B242:C242">
    <cfRule type="colorScale" priority="13">
      <colorScale>
        <cfvo type="min"/>
        <cfvo type="max"/>
        <color theme="6" tint="0.79998168889431442"/>
        <color theme="5" tint="0.39997558519241921"/>
      </colorScale>
    </cfRule>
  </conditionalFormatting>
  <conditionalFormatting sqref="B247:C247">
    <cfRule type="colorScale" priority="12">
      <colorScale>
        <cfvo type="min"/>
        <cfvo type="max"/>
        <color theme="6" tint="0.79998168889431442"/>
        <color theme="5" tint="0.39997558519241921"/>
      </colorScale>
    </cfRule>
  </conditionalFormatting>
  <conditionalFormatting sqref="B252:C252">
    <cfRule type="colorScale" priority="11">
      <colorScale>
        <cfvo type="min"/>
        <cfvo type="max"/>
        <color theme="6" tint="0.79998168889431442"/>
        <color theme="5" tint="0.39997558519241921"/>
      </colorScale>
    </cfRule>
  </conditionalFormatting>
  <conditionalFormatting sqref="C262:D262">
    <cfRule type="colorScale" priority="10">
      <colorScale>
        <cfvo type="min"/>
        <cfvo type="max"/>
        <color theme="6" tint="0.79998168889431442"/>
        <color theme="5" tint="0.39997558519241921"/>
      </colorScale>
    </cfRule>
  </conditionalFormatting>
  <conditionalFormatting sqref="B123:G123">
    <cfRule type="colorScale" priority="9">
      <colorScale>
        <cfvo type="min"/>
        <cfvo type="max"/>
        <color theme="6" tint="0.79998168889431442"/>
        <color theme="5" tint="0.39997558519241921"/>
      </colorScale>
    </cfRule>
  </conditionalFormatting>
  <conditionalFormatting sqref="C86:F86">
    <cfRule type="colorScale" priority="8">
      <colorScale>
        <cfvo type="min"/>
        <cfvo type="max"/>
        <color theme="6" tint="0.79998168889431442"/>
        <color theme="5" tint="0.39997558519241921"/>
      </colorScale>
    </cfRule>
  </conditionalFormatting>
  <conditionalFormatting sqref="B97:D97">
    <cfRule type="colorScale" priority="7">
      <colorScale>
        <cfvo type="min"/>
        <cfvo type="max"/>
        <color theme="6" tint="0.79998168889431442"/>
        <color theme="5" tint="0.39997558519241921"/>
      </colorScale>
    </cfRule>
  </conditionalFormatting>
  <conditionalFormatting sqref="C147:F147">
    <cfRule type="colorScale" priority="6">
      <colorScale>
        <cfvo type="min"/>
        <cfvo type="max"/>
        <color theme="6" tint="0.79998168889431442"/>
        <color theme="5" tint="0.39997558519241921"/>
      </colorScale>
    </cfRule>
  </conditionalFormatting>
  <conditionalFormatting sqref="C24:J24">
    <cfRule type="colorScale" priority="5">
      <colorScale>
        <cfvo type="min"/>
        <cfvo type="max"/>
        <color theme="6" tint="0.79998168889431442"/>
        <color theme="5" tint="0.39997558519241921"/>
      </colorScale>
    </cfRule>
  </conditionalFormatting>
  <conditionalFormatting sqref="K24">
    <cfRule type="colorScale" priority="4">
      <colorScale>
        <cfvo type="min"/>
        <cfvo type="max"/>
        <color theme="6" tint="0.79998168889431442"/>
        <color theme="5" tint="0.39997558519241921"/>
      </colorScale>
    </cfRule>
  </conditionalFormatting>
  <conditionalFormatting sqref="L24">
    <cfRule type="colorScale" priority="3">
      <colorScale>
        <cfvo type="min"/>
        <cfvo type="max"/>
        <color theme="6" tint="0.79998168889431442"/>
        <color theme="5" tint="0.39997558519241921"/>
      </colorScale>
    </cfRule>
  </conditionalFormatting>
  <conditionalFormatting sqref="C76:G76">
    <cfRule type="colorScale" priority="2">
      <colorScale>
        <cfvo type="min"/>
        <cfvo type="max"/>
        <color theme="6" tint="0.79998168889431442"/>
        <color theme="5" tint="0.39997558519241921"/>
      </colorScale>
    </cfRule>
  </conditionalFormatting>
  <conditionalFormatting sqref="H108">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Z208"/>
  <sheetViews>
    <sheetView zoomScale="90" zoomScaleNormal="90" workbookViewId="0">
      <selection activeCell="A161" sqref="A161"/>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COUNTIFS('SATEMA_Cleaned Data'!N:N,"education",'SATEMA_Cleaned Data'!K:K,"SATEMA")</f>
        <v>5</v>
      </c>
    </row>
    <row r="5" spans="1:7" ht="15.5" x14ac:dyDescent="0.35">
      <c r="A5" s="29" t="s">
        <v>1933</v>
      </c>
    </row>
    <row r="6" spans="1:7" ht="42" x14ac:dyDescent="0.3">
      <c r="A6" s="3"/>
      <c r="B6" s="8" t="s">
        <v>1275</v>
      </c>
      <c r="C6" s="8" t="s">
        <v>1276</v>
      </c>
      <c r="D6" s="8" t="s">
        <v>1277</v>
      </c>
      <c r="E6" s="8" t="s">
        <v>3337</v>
      </c>
      <c r="F6" s="51" t="s">
        <v>3274</v>
      </c>
    </row>
    <row r="7" spans="1:7" x14ac:dyDescent="0.3">
      <c r="A7" s="3" t="s">
        <v>1207</v>
      </c>
      <c r="B7" s="4">
        <f>COUNTIF('SATEMA_Cleaned Data'!YK:ZT,"public")</f>
        <v>3</v>
      </c>
      <c r="C7" s="4">
        <f>COUNTIF('SATEMA_Cleaned Data'!ZT:ZT,"prive")</f>
        <v>0</v>
      </c>
      <c r="D7" s="4">
        <f>COUNTIF('SATEMA_Cleaned Data'!ZT:ZT,"religieux")</f>
        <v>1</v>
      </c>
      <c r="E7" s="4">
        <f>COUNTIF('SATEMA_Cleaned Data'!ZT:ZT,"communautaire")</f>
        <v>1</v>
      </c>
      <c r="F7" s="52">
        <f>SUM(B7:E7)</f>
        <v>5</v>
      </c>
    </row>
    <row r="8" spans="1:7" ht="26" x14ac:dyDescent="0.3">
      <c r="A8" s="53" t="s">
        <v>3273</v>
      </c>
      <c r="B8" s="7">
        <f>(B7/$B$3)</f>
        <v>0.6</v>
      </c>
      <c r="C8" s="7">
        <f t="shared" ref="C8:E8" si="0">(C7/$B$3)</f>
        <v>0</v>
      </c>
      <c r="D8" s="7">
        <f t="shared" si="0"/>
        <v>0.2</v>
      </c>
      <c r="E8" s="7">
        <f t="shared" si="0"/>
        <v>0.2</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COUNTIF('SATEMA_Cleaned Data'!ABE:ABE,"f1")</f>
        <v>5</v>
      </c>
      <c r="C12" s="4">
        <f>COUNTIF('SATEMA_Cleaned Data'!ABE:ABE,"f2")</f>
        <v>0</v>
      </c>
      <c r="D12" s="4">
        <f>COUNTIF('SATEMA_Cleaned Data'!ABE:ABE,"etp")</f>
        <v>0</v>
      </c>
      <c r="E12" s="4">
        <f>COUNTIF('SATEMA_Cleaned Data'!ABE:ABE,"coranique")</f>
        <v>0</v>
      </c>
      <c r="F12" s="4">
        <f>COUNTIF('SATEMA_Cleaned Data'!ABH:ABH,"autre")</f>
        <v>0</v>
      </c>
      <c r="G12" s="111">
        <f>SUM(B12:F12)</f>
        <v>5</v>
      </c>
    </row>
    <row r="13" spans="1:7" ht="26" x14ac:dyDescent="0.3">
      <c r="A13" s="53" t="s">
        <v>3273</v>
      </c>
      <c r="B13" s="7">
        <f>(B12/$B$3)</f>
        <v>1</v>
      </c>
      <c r="C13" s="7">
        <f t="shared" ref="C13:F13" si="1">(C12/$B$3)</f>
        <v>0</v>
      </c>
      <c r="D13" s="7">
        <f t="shared" si="1"/>
        <v>0</v>
      </c>
      <c r="E13" s="7">
        <f t="shared" si="1"/>
        <v>0</v>
      </c>
      <c r="F13" s="7">
        <f t="shared" si="1"/>
        <v>0</v>
      </c>
      <c r="G13" s="116">
        <f>SUM(B13:F13)</f>
        <v>1</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COUNTIF('SATEMA_Cleaned Data'!ZV:ZV,"durable")</f>
        <v>1</v>
      </c>
      <c r="C18" s="4">
        <f>COUNTIF('SATEMA_Cleaned Data'!ZV:ZV,"hangar")</f>
        <v>1</v>
      </c>
      <c r="D18" s="4">
        <f>COUNTIF('SATEMA_Cleaned Data'!ZV:ZV,"hangar_traditionnel")</f>
        <v>3</v>
      </c>
      <c r="E18" s="111">
        <f>SUM(B18:D18)</f>
        <v>5</v>
      </c>
    </row>
    <row r="19" spans="1:26" ht="26" x14ac:dyDescent="0.3">
      <c r="A19" s="53" t="s">
        <v>3273</v>
      </c>
      <c r="B19" s="7">
        <f>B18/$B$3</f>
        <v>0.2</v>
      </c>
      <c r="C19" s="7">
        <f t="shared" ref="C19:D19" si="2">C18/$B$3</f>
        <v>0.2</v>
      </c>
      <c r="D19" s="7">
        <f t="shared" si="2"/>
        <v>0.6</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COUNTIF('SATEMA_Cleaned Data'!ZX:ZX,"Oui")</f>
        <v>4</v>
      </c>
      <c r="C23" s="4">
        <f>COUNTIF('SATEMA_Cleaned Data'!ZX:ZX,"non")</f>
        <v>0</v>
      </c>
      <c r="D23" s="4">
        <f>COUNTIF('SATEMA_Cleaned Data'!ZX:ZX,"partiel")</f>
        <v>1</v>
      </c>
      <c r="E23" s="72">
        <f>B23+D23</f>
        <v>5</v>
      </c>
    </row>
    <row r="24" spans="1:26" ht="26" x14ac:dyDescent="0.3">
      <c r="A24" s="53" t="s">
        <v>3273</v>
      </c>
      <c r="B24" s="7">
        <f>B23/$B$3</f>
        <v>0.8</v>
      </c>
      <c r="C24" s="7">
        <f t="shared" ref="C24:D24" si="3">C23/$B$3</f>
        <v>0</v>
      </c>
      <c r="D24" s="7">
        <f t="shared" si="3"/>
        <v>0.2</v>
      </c>
      <c r="E24" s="119">
        <f>B24+D24</f>
        <v>1</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COUNTIF('SATEMA_Cleaned Data'!AAK:AAK,"1")</f>
        <v>0</v>
      </c>
      <c r="D28" s="3">
        <f>COUNTIF('SATEMA_Cleaned Data'!AAL:AAL,"1")</f>
        <v>0</v>
      </c>
      <c r="E28" s="3">
        <f>COUNTIF('SATEMA_Cleaned Data'!AAM:AAM,"1")</f>
        <v>0</v>
      </c>
      <c r="F28" s="3">
        <f>COUNTIF('SATEMA_Cleaned Data'!AAN:AAN,"1")</f>
        <v>0</v>
      </c>
      <c r="G28" s="3">
        <f>COUNTIF('SATEMA_Cleaned Data'!AAO:AAO,"1")</f>
        <v>0</v>
      </c>
      <c r="H28" s="3">
        <f>COUNTIF('SATEMA_Cleaned Data'!AAP:AAP,"1")</f>
        <v>0</v>
      </c>
      <c r="I28" s="3">
        <f>COUNTIF('SATEMA_Cleaned Data'!AAQ:AAQ,"1")</f>
        <v>0</v>
      </c>
      <c r="J28" s="3">
        <f>COUNTIF('SATEMA_Cleaned Data'!AAR:AAR,"1")</f>
        <v>0</v>
      </c>
      <c r="K28" s="3">
        <f>COUNTIF('SATEMA_Cleaned Data'!AAS:AAS,"1")</f>
        <v>0</v>
      </c>
    </row>
    <row r="29" spans="1:26" ht="37.5" x14ac:dyDescent="0.3">
      <c r="B29" s="53" t="s">
        <v>3275</v>
      </c>
      <c r="C29" s="7" t="e">
        <f>C28/$C$23</f>
        <v>#DIV/0!</v>
      </c>
      <c r="D29" s="7" t="e">
        <f t="shared" ref="D29:K29" si="4">D28/$C$23</f>
        <v>#DIV/0!</v>
      </c>
      <c r="E29" s="7" t="e">
        <f t="shared" si="4"/>
        <v>#DIV/0!</v>
      </c>
      <c r="F29" s="7" t="e">
        <f t="shared" si="4"/>
        <v>#DIV/0!</v>
      </c>
      <c r="G29" s="7" t="e">
        <f t="shared" si="4"/>
        <v>#DIV/0!</v>
      </c>
      <c r="H29" s="7" t="e">
        <f t="shared" si="4"/>
        <v>#DIV/0!</v>
      </c>
      <c r="I29" s="7" t="e">
        <f t="shared" si="4"/>
        <v>#DIV/0!</v>
      </c>
      <c r="J29" s="7" t="e">
        <f t="shared" si="4"/>
        <v>#DIV/0!</v>
      </c>
      <c r="K29" s="7" t="e">
        <f t="shared" si="4"/>
        <v>#DIV/0!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COUNTIF('SATEMA_Cleaned Data'!AAU:AAU,"moins_six_mois")</f>
        <v>0</v>
      </c>
      <c r="D33" s="3">
        <f>COUNTIF('SATEMA_Cleaned Data'!AAU:AAU,"six_mois_un_an ")</f>
        <v>0</v>
      </c>
      <c r="E33" s="3">
        <f>COUNTIF('SATEMA_Cleaned Data'!AAU:AAU,"un_an_trois_ans")</f>
        <v>0</v>
      </c>
      <c r="F33" s="3">
        <f>COUNTIF('SATEMA_Cleaned Data'!AAU:AAU,"plus_trois_ans")</f>
        <v>0</v>
      </c>
      <c r="G33" s="3">
        <f>COUNTIF('SATEMA_Cleaned Data'!AAU:AAU,"nsp")</f>
        <v>0</v>
      </c>
      <c r="H33" s="111">
        <f>SUM(C33:G33)</f>
        <v>0</v>
      </c>
      <c r="I33" s="10"/>
      <c r="J33" s="74" t="s">
        <v>2310</v>
      </c>
      <c r="K33" s="74"/>
      <c r="L33" s="10"/>
      <c r="M33" s="10"/>
      <c r="N33" s="10"/>
      <c r="O33" s="10"/>
      <c r="P33" s="10"/>
      <c r="Q33" s="10"/>
      <c r="R33" s="10"/>
      <c r="S33" s="10"/>
      <c r="T33" s="10"/>
      <c r="U33" s="10"/>
      <c r="V33" s="10"/>
      <c r="W33" s="10"/>
      <c r="X33" s="10"/>
      <c r="Y33" s="10"/>
      <c r="Z33" s="10"/>
    </row>
    <row r="34" spans="1:26" ht="37.5" x14ac:dyDescent="0.3">
      <c r="B34" s="53" t="s">
        <v>3275</v>
      </c>
      <c r="C34" s="7" t="e">
        <f>C33/$C$23</f>
        <v>#DIV/0!</v>
      </c>
      <c r="D34" s="7" t="e">
        <f t="shared" ref="D34:G34" si="5">D33/$C$23</f>
        <v>#DIV/0!</v>
      </c>
      <c r="E34" s="7" t="e">
        <f t="shared" si="5"/>
        <v>#DIV/0!</v>
      </c>
      <c r="F34" s="7" t="e">
        <f t="shared" si="5"/>
        <v>#DIV/0!</v>
      </c>
      <c r="G34" s="7" t="e">
        <f t="shared" si="5"/>
        <v>#DIV/0!</v>
      </c>
      <c r="H34" s="116" t="e">
        <f>SUM(C34:G34)</f>
        <v>#DIV/0!</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COUNTIF('SATEMA_Cleaned Data'!ZZ:ZZ,"1")</f>
        <v>0</v>
      </c>
      <c r="D38" s="3">
        <f>COUNTIF('SATEMA_Cleaned Data'!AAA:AAA,"1")</f>
        <v>1</v>
      </c>
      <c r="E38" s="3">
        <f>COUNTIF('SATEMA_Cleaned Data'!AAB:AAB,"1")</f>
        <v>0</v>
      </c>
      <c r="F38" s="3">
        <f>COUNTIF('SATEMA_Cleaned Data'!AAC:AAC,"1")</f>
        <v>1</v>
      </c>
      <c r="G38" s="3">
        <f>COUNTIF('SATEMA_Cleaned Data'!AAD:AAD,"1")</f>
        <v>1</v>
      </c>
      <c r="H38" s="3">
        <f>COUNTIF('SATEMA_Cleaned Data'!AAE:AAE,"1")</f>
        <v>1</v>
      </c>
      <c r="I38" s="3">
        <f>COUNTIF('SATEMA_Cleaned Data'!AAF:AAF,"1")</f>
        <v>0</v>
      </c>
      <c r="J38" s="3">
        <f>COUNTIF('SATEMA_Cleaned Data'!AAG:AAG,"1")</f>
        <v>0</v>
      </c>
    </row>
    <row r="39" spans="1:26" ht="49" x14ac:dyDescent="0.3">
      <c r="B39" s="53" t="s">
        <v>3276</v>
      </c>
      <c r="C39" s="7">
        <f>C38/$D$23</f>
        <v>0</v>
      </c>
      <c r="D39" s="7">
        <f t="shared" ref="D39:J39" si="6">D38/$D$23</f>
        <v>1</v>
      </c>
      <c r="E39" s="7">
        <f t="shared" si="6"/>
        <v>0</v>
      </c>
      <c r="F39" s="7">
        <f t="shared" si="6"/>
        <v>1</v>
      </c>
      <c r="G39" s="7">
        <f t="shared" si="6"/>
        <v>1</v>
      </c>
      <c r="H39" s="7">
        <f t="shared" si="6"/>
        <v>1</v>
      </c>
      <c r="I39" s="7">
        <f t="shared" si="6"/>
        <v>0</v>
      </c>
      <c r="J39" s="7">
        <f t="shared" si="6"/>
        <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COUNTIF('SATEMA_Cleaned Data'!AAI:AAI,"moins_six_mois")</f>
        <v>0</v>
      </c>
      <c r="D43" s="3">
        <f>COUNTIF('SATEMA_Cleaned Data'!AAI:AAI,"six_mois_un_an ")</f>
        <v>0</v>
      </c>
      <c r="E43" s="3">
        <f>COUNTIF('SATEMA_Cleaned Data'!AAI:AAI,"un_an_trois_ans")</f>
        <v>1</v>
      </c>
      <c r="F43" s="3">
        <f>COUNTIF('SATEMA_Cleaned Data'!AAI:AAI,"plus_trois_ans")</f>
        <v>0</v>
      </c>
      <c r="G43" s="3">
        <f>COUNTIF('SATEMA_Cleaned Data'!AAI:AAI,"nsp")</f>
        <v>0</v>
      </c>
      <c r="H43" s="111">
        <f>SUM(C43:G43)</f>
        <v>1</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f>C43/$D$23</f>
        <v>0</v>
      </c>
      <c r="D44" s="7">
        <f t="shared" ref="D44:G44" si="7">D43/$D$23</f>
        <v>0</v>
      </c>
      <c r="E44" s="7">
        <f t="shared" si="7"/>
        <v>1</v>
      </c>
      <c r="F44" s="7">
        <f t="shared" si="7"/>
        <v>0</v>
      </c>
      <c r="G44" s="7">
        <f t="shared" si="7"/>
        <v>0</v>
      </c>
      <c r="H44" s="116">
        <f>SUM(C44:G44)</f>
        <v>1</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COUNTIF('SATEMA_Cleaned Data'!AAW:AAW,"1")</f>
        <v>0</v>
      </c>
      <c r="C48" s="4">
        <f>COUNTIF('SATEMA_Cleaned Data'!AAX:AAX,"1")</f>
        <v>0</v>
      </c>
      <c r="D48" s="4">
        <f>COUNTIF('SATEMA_Cleaned Data'!AAY:AAY,"1")</f>
        <v>0</v>
      </c>
      <c r="E48" s="4">
        <f>COUNTIF('SATEMA_Cleaned Data'!AAZ:AAZ,"1")</f>
        <v>0</v>
      </c>
      <c r="F48" s="4">
        <f>COUNTIF('SATEMA_Cleaned Data'!ABA:ABA,"1")</f>
        <v>0</v>
      </c>
      <c r="G48" s="4">
        <f>COUNTIF('SATEMA_Cleaned Data'!ABB:ABB,"1")</f>
        <v>0</v>
      </c>
      <c r="H48" s="4">
        <f>COUNTIF('SATEMA_Cleaned Data'!ABC:ABC,"1")</f>
        <v>0</v>
      </c>
      <c r="I48" s="87" t="s">
        <v>2309</v>
      </c>
      <c r="J48" s="87"/>
    </row>
    <row r="49" spans="1:12" ht="40" customHeight="1" x14ac:dyDescent="0.3">
      <c r="A49" s="54" t="s">
        <v>1956</v>
      </c>
      <c r="B49" s="7" t="e">
        <f>B48/SUM(C28,C38)</f>
        <v>#DIV/0!</v>
      </c>
      <c r="C49" s="7" t="e">
        <f>C48/SUM(C28,C38)</f>
        <v>#DIV/0!</v>
      </c>
      <c r="D49" s="7" t="e">
        <f>D48/SUM(C28,C38)</f>
        <v>#DIV/0!</v>
      </c>
      <c r="E49" s="7" t="e">
        <f>E48/SUM(C28,C38)</f>
        <v>#DIV/0!</v>
      </c>
      <c r="F49" s="7" t="e">
        <f>F48/SUM(C28,C38)</f>
        <v>#DIV/0!</v>
      </c>
      <c r="G49" s="7" t="e">
        <f>G48/SUM(C28,C38)</f>
        <v>#DIV/0!</v>
      </c>
      <c r="H49" s="7" t="e">
        <f>H48/SUM(C28,C38)</f>
        <v>#DIV/0!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COUNTIF('SATEMA_Cleaned Data'!ABM:ABM,"1")</f>
        <v>1</v>
      </c>
      <c r="C53" s="4">
        <f>COUNTIF('SATEMA_Cleaned Data'!ABN:ABN,"1")</f>
        <v>0</v>
      </c>
      <c r="D53" s="4">
        <f>COUNTIF('SATEMA_Cleaned Data'!ABO:ABO,"1")</f>
        <v>3</v>
      </c>
      <c r="E53" s="4">
        <f>COUNTIF('SATEMA_Cleaned Data'!ABP:ABP,"1")</f>
        <v>0</v>
      </c>
      <c r="F53" s="4">
        <f>COUNTIF('SATEMA_Cleaned Data'!ABQ:ABQ,"1")</f>
        <v>0</v>
      </c>
      <c r="G53" s="4">
        <f>COUNTIF('SATEMA_Cleaned Data'!ABR:ABR,"1")</f>
        <v>1</v>
      </c>
      <c r="H53" s="4">
        <f>COUNTIF('SATEMA_Cleaned Data'!ABX:ABX,"1")</f>
        <v>1</v>
      </c>
      <c r="I53" s="4">
        <f>COUNTIF('SATEMA_Cleaned Data'!ABT:ABT,"1")</f>
        <v>0</v>
      </c>
      <c r="J53" s="4">
        <f>COUNTIF('SATEMA_Cleaned Data'!ABU:ABU,"1")</f>
        <v>0</v>
      </c>
      <c r="K53" s="4">
        <f>COUNTIF('SATEMA_Cleaned Data'!ABV:ABV,"1")</f>
        <v>1</v>
      </c>
      <c r="L53" s="4">
        <f>COUNTIF('SATEMA_Cleaned Data'!ABW:ABW,"1")</f>
        <v>0</v>
      </c>
    </row>
    <row r="54" spans="1:12" ht="26" x14ac:dyDescent="0.3">
      <c r="A54" s="53" t="s">
        <v>3273</v>
      </c>
      <c r="B54" s="7">
        <f>B53/$B$3</f>
        <v>0.2</v>
      </c>
      <c r="C54" s="7">
        <f t="shared" ref="C54:L54" si="8">C53/$B$3</f>
        <v>0</v>
      </c>
      <c r="D54" s="7">
        <f t="shared" si="8"/>
        <v>0.6</v>
      </c>
      <c r="E54" s="7">
        <f t="shared" si="8"/>
        <v>0</v>
      </c>
      <c r="F54" s="7">
        <f t="shared" si="8"/>
        <v>0</v>
      </c>
      <c r="G54" s="7">
        <f t="shared" si="8"/>
        <v>0.2</v>
      </c>
      <c r="H54" s="7">
        <f t="shared" si="8"/>
        <v>0.2</v>
      </c>
      <c r="I54" s="7">
        <f t="shared" si="8"/>
        <v>0</v>
      </c>
      <c r="J54" s="7">
        <f t="shared" si="8"/>
        <v>0</v>
      </c>
      <c r="K54" s="7">
        <f t="shared" si="8"/>
        <v>0.2</v>
      </c>
      <c r="L54" s="7">
        <f t="shared" si="8"/>
        <v>0</v>
      </c>
    </row>
    <row r="55" spans="1:12" x14ac:dyDescent="0.3">
      <c r="A55" s="65"/>
      <c r="J55" s="74" t="s">
        <v>3277</v>
      </c>
    </row>
    <row r="56" spans="1:12" x14ac:dyDescent="0.3">
      <c r="A56" s="18" t="s">
        <v>1286</v>
      </c>
    </row>
    <row r="57" spans="1:12" x14ac:dyDescent="0.3">
      <c r="A57" s="3"/>
      <c r="B57" s="8" t="s">
        <v>1210</v>
      </c>
      <c r="C57" s="8" t="s">
        <v>1209</v>
      </c>
      <c r="D57" s="114" t="s">
        <v>1206</v>
      </c>
    </row>
    <row r="58" spans="1:12" x14ac:dyDescent="0.3">
      <c r="A58" s="3" t="s">
        <v>1207</v>
      </c>
      <c r="B58" s="4">
        <f>COUNTIF('SATEMA_Cleaned Data'!ACA:ACA,"Oui")</f>
        <v>1</v>
      </c>
      <c r="C58" s="4">
        <f>COUNTIF('SATEMA_Cleaned Data'!ACA:ACA,"non")</f>
        <v>4</v>
      </c>
      <c r="D58" s="111">
        <f>SUM(B58:C58)</f>
        <v>5</v>
      </c>
    </row>
    <row r="59" spans="1:12" ht="26" x14ac:dyDescent="0.3">
      <c r="A59" s="53" t="s">
        <v>3273</v>
      </c>
      <c r="B59" s="7">
        <f>B58/$B$3</f>
        <v>0.2</v>
      </c>
      <c r="C59" s="7">
        <f>C58/$B$3</f>
        <v>0.8</v>
      </c>
      <c r="D59" s="116">
        <f>SUM(B59:C59)</f>
        <v>1</v>
      </c>
    </row>
    <row r="61" spans="1:12" x14ac:dyDescent="0.3">
      <c r="B61" s="18" t="s">
        <v>1287</v>
      </c>
    </row>
    <row r="62" spans="1:12" x14ac:dyDescent="0.3">
      <c r="B62" s="21">
        <f>AVERAGE('SATEMA_Cleaned Data'!ACB:ACB)</f>
        <v>3</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COUNTIF('SATEMA_Cleaned Data'!ACC:ACC,"Oui")</f>
        <v>1</v>
      </c>
      <c r="D66" s="4">
        <f>COUNTIF('SATEMA_Cleaned Data'!ACC:ACC,"non")</f>
        <v>0</v>
      </c>
      <c r="E66" s="111">
        <f>SUM(C66:D66)</f>
        <v>1</v>
      </c>
    </row>
    <row r="67" spans="1:5" ht="49" x14ac:dyDescent="0.3">
      <c r="B67" s="53" t="s">
        <v>3278</v>
      </c>
      <c r="C67" s="7">
        <f>C66/$B$58</f>
        <v>1</v>
      </c>
      <c r="D67" s="7">
        <f>D66/$B$58</f>
        <v>0</v>
      </c>
      <c r="E67" s="116">
        <f>SUM(C67:D67)</f>
        <v>1</v>
      </c>
    </row>
    <row r="68" spans="1:5" x14ac:dyDescent="0.3">
      <c r="B68" s="14"/>
      <c r="C68" s="15"/>
      <c r="D68" s="15"/>
    </row>
    <row r="69" spans="1:5" x14ac:dyDescent="0.3">
      <c r="C69" s="18" t="s">
        <v>1289</v>
      </c>
    </row>
    <row r="70" spans="1:5" x14ac:dyDescent="0.3">
      <c r="C70" s="21">
        <f>AVERAGE('SATEMA_Cleaned Data'!ACD:ACD)</f>
        <v>1</v>
      </c>
    </row>
    <row r="71" spans="1:5" x14ac:dyDescent="0.3">
      <c r="C71" s="18" t="s">
        <v>1290</v>
      </c>
    </row>
    <row r="72" spans="1:5" x14ac:dyDescent="0.3">
      <c r="C72" s="21">
        <f>AVERAGE('SATEMA_Cleaned Data'!ACF:ACF)</f>
        <v>1</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COUNTIF('SATEMA_Cleaned Data'!ACI:ACI,"Oui")</f>
        <v>1</v>
      </c>
      <c r="D76" s="4">
        <f>COUNTIF('SATEMA_Cleaned Data'!ACI:ACI,"non")</f>
        <v>0</v>
      </c>
      <c r="E76" s="111">
        <f>SUM(C76:D76)</f>
        <v>1</v>
      </c>
    </row>
    <row r="77" spans="1:5" ht="49" x14ac:dyDescent="0.3">
      <c r="B77" s="53" t="s">
        <v>3278</v>
      </c>
      <c r="C77" s="7">
        <f>C76/$B$58</f>
        <v>1</v>
      </c>
      <c r="D77" s="7">
        <f>D76/$B$58</f>
        <v>0</v>
      </c>
      <c r="E77" s="116">
        <f>SUM(C77:D77)</f>
        <v>1</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COUNTIF('SATEMA_Cleaned Data'!ACJ:ACJ,"Oui")</f>
        <v>0</v>
      </c>
      <c r="C81" s="4">
        <f>COUNTIF('SATEMA_Cleaned Data'!ACJ:ACJ,"non")</f>
        <v>5</v>
      </c>
      <c r="D81" s="111">
        <f>SUM(B81:C81)</f>
        <v>5</v>
      </c>
    </row>
    <row r="82" spans="1:12" ht="26" x14ac:dyDescent="0.3">
      <c r="A82" s="53" t="s">
        <v>3273</v>
      </c>
      <c r="B82" s="7">
        <f>B81/$B$3</f>
        <v>0</v>
      </c>
      <c r="C82" s="7">
        <f>C81/$B$3</f>
        <v>1</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COUNTIF('SATEMA_Cleaned Data'!ACK:ACK,"fontaine")</f>
        <v>0</v>
      </c>
      <c r="D86" s="4">
        <f>COUNTIF('SATEMA_Cleaned Data'!ACK:ACK,"pompe_main")</f>
        <v>0</v>
      </c>
      <c r="E86" s="4">
        <f>COUNTIF('SATEMA_Cleaned Data'!ACK:ACK,"pompe_pied")</f>
        <v>0</v>
      </c>
      <c r="F86" s="4">
        <f>COUNTIF('SATEMA_Cleaned Data'!ACK:ACK,"puits_protege")</f>
        <v>0</v>
      </c>
      <c r="G86" s="4">
        <f>COUNTIF('SATEMA_Cleaned Data'!ACK:ACK,"puits_non_protege")</f>
        <v>0</v>
      </c>
      <c r="H86" s="4">
        <f>COUNTIF('SATEMA_Cleaned Data'!ACK:ACK,"source_amenagee")</f>
        <v>0</v>
      </c>
      <c r="I86" s="4">
        <f>COUNTIF('SATEMA_Cleaned Data'!ACK:ACK,"source_non_amenagee")</f>
        <v>0</v>
      </c>
      <c r="J86" s="4">
        <f>COUNTIF('SATEMA_Cleaned Data'!ACK:ACK,"camion")</f>
        <v>0</v>
      </c>
      <c r="K86" s="4">
        <f>COUNTIF('SATEMA_Cleaned Data'!ACK:ACK,"autre")</f>
        <v>0</v>
      </c>
      <c r="L86" s="111">
        <f>SUM(C86:K86)</f>
        <v>0</v>
      </c>
    </row>
    <row r="87" spans="1:12" ht="49" x14ac:dyDescent="0.3">
      <c r="A87" s="14"/>
      <c r="B87" s="53" t="s">
        <v>3279</v>
      </c>
      <c r="C87" s="7" t="e">
        <f>C86/$B$81</f>
        <v>#DIV/0!</v>
      </c>
      <c r="D87" s="7" t="e">
        <f t="shared" ref="D87:K87" si="9">D86/$B$81</f>
        <v>#DIV/0!</v>
      </c>
      <c r="E87" s="7" t="e">
        <f t="shared" si="9"/>
        <v>#DIV/0!</v>
      </c>
      <c r="F87" s="7" t="e">
        <f t="shared" si="9"/>
        <v>#DIV/0!</v>
      </c>
      <c r="G87" s="7" t="e">
        <f t="shared" si="9"/>
        <v>#DIV/0!</v>
      </c>
      <c r="H87" s="7" t="e">
        <f t="shared" si="9"/>
        <v>#DIV/0!</v>
      </c>
      <c r="I87" s="7" t="e">
        <f t="shared" si="9"/>
        <v>#DIV/0!</v>
      </c>
      <c r="J87" s="7" t="e">
        <f t="shared" si="9"/>
        <v>#DIV/0!</v>
      </c>
      <c r="K87" s="7" t="e">
        <f t="shared" si="9"/>
        <v>#DIV/0!</v>
      </c>
      <c r="L87" s="116" t="e">
        <f>SUM(C87:K87)</f>
        <v>#DIV/0!</v>
      </c>
    </row>
    <row r="89" spans="1:12" x14ac:dyDescent="0.3">
      <c r="A89" s="21" t="s">
        <v>1302</v>
      </c>
    </row>
    <row r="90" spans="1:12" ht="15.5" x14ac:dyDescent="0.35">
      <c r="A90" s="67" t="s">
        <v>1964</v>
      </c>
      <c r="E90" s="29" t="s">
        <v>1963</v>
      </c>
    </row>
    <row r="91" spans="1:12" x14ac:dyDescent="0.3">
      <c r="A91" s="66">
        <f>AVERAGE('SATEMA_Cleaned Data'!ABZ:ABZ)</f>
        <v>4.4000000000000004</v>
      </c>
      <c r="E91" s="19">
        <f>AVERAGE('SATEMA_Cleaned Data'!ACN:ACN)</f>
        <v>381.6</v>
      </c>
    </row>
    <row r="92" spans="1:12" x14ac:dyDescent="0.3">
      <c r="A92" s="66"/>
    </row>
    <row r="93" spans="1:12" x14ac:dyDescent="0.3">
      <c r="A93" s="66"/>
      <c r="D93" s="70">
        <f>E91/A91</f>
        <v>86.72727272727272</v>
      </c>
      <c r="E93" s="68" t="s">
        <v>1965</v>
      </c>
    </row>
    <row r="94" spans="1:12" x14ac:dyDescent="0.3">
      <c r="A94" s="66"/>
    </row>
    <row r="95" spans="1:12" ht="15.5" x14ac:dyDescent="0.35">
      <c r="A95" s="18" t="s">
        <v>1967</v>
      </c>
      <c r="E95" s="29" t="s">
        <v>1966</v>
      </c>
    </row>
    <row r="96" spans="1:12" x14ac:dyDescent="0.3">
      <c r="A96" s="69">
        <f>AVERAGEIF('SATEMA_Cleaned Data'!ZT:ZT,"public", 'SATEMA_Cleaned Data'!ABZ:ABZ)</f>
        <v>4.666666666666667</v>
      </c>
      <c r="E96" s="19">
        <f>AVERAGEIF('SATEMA_Cleaned Data'!ZT:ZT,"public",'SATEMA_Cleaned Data'!ACN:ACN)</f>
        <v>420.33333333333331</v>
      </c>
    </row>
    <row r="98" spans="1:7" x14ac:dyDescent="0.3">
      <c r="D98" s="70">
        <f>E96/A96</f>
        <v>90.071428571428555</v>
      </c>
      <c r="E98" s="68" t="s">
        <v>1965</v>
      </c>
    </row>
    <row r="100" spans="1:7" ht="15.5" x14ac:dyDescent="0.35">
      <c r="A100" s="18" t="s">
        <v>1969</v>
      </c>
      <c r="E100" s="18"/>
    </row>
    <row r="101" spans="1:7" x14ac:dyDescent="0.3">
      <c r="A101" s="93">
        <f>AVERAGE('SATEMA_Cleaned Data'!ACO:ACO)</f>
        <v>145.6</v>
      </c>
      <c r="E101" s="18"/>
    </row>
    <row r="102" spans="1:7" ht="15.5" x14ac:dyDescent="0.35">
      <c r="A102" s="29" t="s">
        <v>1968</v>
      </c>
      <c r="E102" s="18"/>
    </row>
    <row r="103" spans="1:7" x14ac:dyDescent="0.3">
      <c r="A103" s="93">
        <f>AVERAGE('SATEMA_Cleaned Data'!ACQ:ACQ)</f>
        <v>236</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COUNTIF('SATEMA_Cleaned Data'!ACV:ACV,"Oui")</f>
        <v>5</v>
      </c>
      <c r="C107" s="4">
        <f>COUNTIF('SATEMA_Cleaned Data'!ACV:ACV,"non")</f>
        <v>0</v>
      </c>
      <c r="D107" s="4">
        <f>COUNTIF('SATEMA_Cleaned Data'!ACV:ACV,"nsp")</f>
        <v>0</v>
      </c>
      <c r="E107" s="111">
        <f>SUM(B107:D107)</f>
        <v>5</v>
      </c>
    </row>
    <row r="108" spans="1:7" ht="37.5" x14ac:dyDescent="0.3">
      <c r="A108" s="53" t="s">
        <v>3280</v>
      </c>
      <c r="B108" s="7">
        <f>B107/$E$23</f>
        <v>1</v>
      </c>
      <c r="C108" s="7">
        <f>C107/$E$23</f>
        <v>0</v>
      </c>
      <c r="D108" s="7">
        <f>D107/$E$23</f>
        <v>0</v>
      </c>
      <c r="E108" s="116">
        <f>SUM(B108:D108)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COUNTIF('SATEMA_Cleaned Data'!ACW:ACW,"peu_diminue")</f>
        <v>0</v>
      </c>
      <c r="D112" s="24">
        <f>COUNTIF('SATEMA_Cleaned Data'!ACW:ACW,"bcp_diminue")</f>
        <v>0</v>
      </c>
      <c r="E112" s="24">
        <f>COUNTIF('SATEMA_Cleaned Data'!ACW:ACW,"peu_augmente")</f>
        <v>1</v>
      </c>
      <c r="F112" s="24">
        <f>COUNTIF('SATEMA_Cleaned Data'!ACW:ACW,"bcp_augmente")</f>
        <v>4</v>
      </c>
      <c r="G112" s="111">
        <f>SUM(C112:F112)</f>
        <v>5</v>
      </c>
    </row>
    <row r="113" spans="1:10" ht="49" x14ac:dyDescent="0.3">
      <c r="B113" s="53" t="s">
        <v>3281</v>
      </c>
      <c r="C113" s="7">
        <f>C112/$B$107</f>
        <v>0</v>
      </c>
      <c r="D113" s="7">
        <f t="shared" ref="D113:F113" si="10">D112/$B$107</f>
        <v>0</v>
      </c>
      <c r="E113" s="7">
        <f t="shared" si="10"/>
        <v>0.2</v>
      </c>
      <c r="F113" s="7">
        <f t="shared" si="10"/>
        <v>0.8</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COUNTIF('SATEMA_Cleaned Data'!ACY:ACY,"1")</f>
        <v>3</v>
      </c>
      <c r="D117" s="24">
        <f>COUNTIF('SATEMA_Cleaned Data'!ACZ:ACZ,"1")</f>
        <v>1</v>
      </c>
      <c r="E117" s="24">
        <f>COUNTIF('SATEMA_Cleaned Data'!ADA:ADA,"1")</f>
        <v>2</v>
      </c>
      <c r="F117" s="24">
        <f>COUNTIF('SATEMA_Cleaned Data'!ADB:ADB,"1")</f>
        <v>1</v>
      </c>
      <c r="G117" s="24">
        <f>COUNTIF('SATEMA_Cleaned Data'!ADE:ADE,"1")</f>
        <v>5</v>
      </c>
      <c r="H117" s="24">
        <f>COUNTIF('SATEMA_Cleaned Data'!ADC:ADC,"1")</f>
        <v>0</v>
      </c>
      <c r="I117" s="24">
        <f>COUNTIF('SATEMA_Cleaned Data'!ADD:ADD,"1")</f>
        <v>0</v>
      </c>
    </row>
    <row r="118" spans="1:10" ht="49" x14ac:dyDescent="0.3">
      <c r="B118" s="53" t="s">
        <v>3282</v>
      </c>
      <c r="C118" s="7">
        <f>C117/SUM(E112,F112)</f>
        <v>0.6</v>
      </c>
      <c r="D118" s="7">
        <f>D117/SUM(E112,F112)</f>
        <v>0.2</v>
      </c>
      <c r="E118" s="7">
        <f>E117/SUM(E112,F112)</f>
        <v>0.4</v>
      </c>
      <c r="F118" s="7">
        <f>F117/SUM(E112,F112)</f>
        <v>0.2</v>
      </c>
      <c r="G118" s="7">
        <f>G117/SUM(E112,F112)</f>
        <v>1</v>
      </c>
      <c r="H118" s="7">
        <f>H117/SUM(E112,F112)</f>
        <v>0</v>
      </c>
      <c r="I118" s="7">
        <f>I117/SUM(F112,G112)</f>
        <v>0</v>
      </c>
    </row>
    <row r="119" spans="1:10" x14ac:dyDescent="0.3">
      <c r="B119" s="50"/>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COUNTIF('SATEMA_Cleaned Data'!ADH:ADH,"1")</f>
        <v>0</v>
      </c>
      <c r="D122" s="24">
        <f>COUNTIF('SATEMA_Cleaned Data'!ADI:ADI,"1")</f>
        <v>0</v>
      </c>
      <c r="E122" s="24">
        <f>COUNTIF('SATEMA_Cleaned Data'!ADJ:ADJ,"1")</f>
        <v>0</v>
      </c>
      <c r="F122" s="24">
        <f>COUNTIF('SATEMA_Cleaned Data'!ADK:ADK,"1")</f>
        <v>0</v>
      </c>
      <c r="G122" s="24">
        <f>COUNTIF('SATEMA_Cleaned Data'!ADL:ADL,"1")</f>
        <v>0</v>
      </c>
      <c r="H122" s="24">
        <f>COUNTIF('SATEMA_Cleaned Data'!ADO:ADO,"1")</f>
        <v>0</v>
      </c>
      <c r="I122" s="24">
        <f>COUNTIF('SATEMA_Cleaned Data'!ADM:ADM,"1")</f>
        <v>0</v>
      </c>
      <c r="J122" s="24">
        <f>COUNTIF('SATEMA_Cleaned Data'!ADN:ADN,"1")</f>
        <v>0</v>
      </c>
    </row>
    <row r="123" spans="1:10" ht="49" x14ac:dyDescent="0.3">
      <c r="B123" s="53" t="s">
        <v>3283</v>
      </c>
      <c r="C123" s="7" t="e">
        <f>C122/SUM(C112,D112)</f>
        <v>#DIV/0!</v>
      </c>
      <c r="D123" s="7" t="e">
        <f>D122/SUM(C112,D112)</f>
        <v>#DIV/0!</v>
      </c>
      <c r="E123" s="7" t="e">
        <f>E122/SUM(C112,D112)</f>
        <v>#DIV/0!</v>
      </c>
      <c r="F123" s="7" t="e">
        <f>F122/SUM(C112,D112)</f>
        <v>#DIV/0!</v>
      </c>
      <c r="G123" s="7" t="e">
        <f>G122/SUM(C112,D112)</f>
        <v>#DIV/0!</v>
      </c>
      <c r="H123" s="7" t="e">
        <f>H122/SUM(C112,D112)</f>
        <v>#DIV/0!</v>
      </c>
      <c r="I123" s="7" t="e">
        <f>I122/SUM(C112,D112)</f>
        <v>#DIV/0!</v>
      </c>
      <c r="J123" s="7" t="e">
        <f>J122/SUM(C112,D112)</f>
        <v>#DIV/0!</v>
      </c>
    </row>
    <row r="125" spans="1:10" x14ac:dyDescent="0.3">
      <c r="A125" s="18" t="s">
        <v>1323</v>
      </c>
    </row>
    <row r="126" spans="1:10" x14ac:dyDescent="0.3">
      <c r="A126" s="28">
        <f>AVERAGE('SATEMA_Cleaned Data'!ADQ:ADQ)</f>
        <v>0.6</v>
      </c>
    </row>
    <row r="127" spans="1:10" x14ac:dyDescent="0.3">
      <c r="A127" s="28"/>
    </row>
    <row r="128" spans="1:10" x14ac:dyDescent="0.3">
      <c r="A128" s="18" t="s">
        <v>1319</v>
      </c>
    </row>
    <row r="129" spans="1:5" x14ac:dyDescent="0.3">
      <c r="A129" s="28">
        <f>AVERAGE('SATEMA_Cleaned Data'!AEO:AEO)</f>
        <v>0</v>
      </c>
    </row>
    <row r="130" spans="1:5" x14ac:dyDescent="0.3">
      <c r="A130" s="27"/>
    </row>
    <row r="131" spans="1:5" x14ac:dyDescent="0.3">
      <c r="A131" s="18" t="s">
        <v>1320</v>
      </c>
    </row>
    <row r="132" spans="1:5" x14ac:dyDescent="0.3">
      <c r="A132" s="19">
        <f>AVERAGE('SATEMA_Cleaned Data'!AFL:AFL)</f>
        <v>4.2</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COUNTIF('SATEMA_Cleaned Data'!AGH:AGH,"Oui")</f>
        <v>0</v>
      </c>
      <c r="C136" s="24">
        <f>COUNTIF('SATEMA_Cleaned Data'!AGH:AGH,"oui_rc")</f>
        <v>1</v>
      </c>
      <c r="D136" s="24">
        <f>COUNTIF('SATEMA_Cleaned Data'!AGH:AGH,"non_rc")</f>
        <v>4</v>
      </c>
      <c r="E136" s="111">
        <f>SUM(B136:D136)</f>
        <v>5</v>
      </c>
    </row>
    <row r="137" spans="1:5" ht="37.5" x14ac:dyDescent="0.3">
      <c r="A137" s="53" t="s">
        <v>1974</v>
      </c>
      <c r="B137" s="7">
        <f>B136/$E$23</f>
        <v>0</v>
      </c>
      <c r="C137" s="7">
        <f t="shared" ref="C137:D137" si="11">C136/$E$23</f>
        <v>0.2</v>
      </c>
      <c r="D137" s="7">
        <f t="shared" si="11"/>
        <v>0.8</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COUNTIF('SATEMA_Cleaned Data'!AGI:AGI,"Oui")</f>
        <v>0</v>
      </c>
      <c r="C141" s="24">
        <f>COUNTIF('SATEMA_Cleaned Data'!AGI:AGI,"oui_rc")</f>
        <v>0</v>
      </c>
      <c r="D141" s="24">
        <f>COUNTIF('SATEMA_Cleaned Data'!AGI:AGI,"non_rc")</f>
        <v>5</v>
      </c>
      <c r="E141" s="111">
        <f>SUM(B141:D141)</f>
        <v>5</v>
      </c>
    </row>
    <row r="142" spans="1:5" ht="37.5" x14ac:dyDescent="0.3">
      <c r="A142" s="53" t="s">
        <v>3284</v>
      </c>
      <c r="B142" s="7">
        <f>B141/$E$23</f>
        <v>0</v>
      </c>
      <c r="C142" s="7">
        <f t="shared" ref="C142:D142" si="12">C141/$E$23</f>
        <v>0</v>
      </c>
      <c r="D142" s="7">
        <f t="shared" si="12"/>
        <v>1</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COUNTIF('SATEMA_Cleaned Data'!ACM:ACM,"Oui")</f>
        <v>1</v>
      </c>
      <c r="C148" s="24">
        <f>COUNTIF('SATEMA_Cleaned Data'!ACM:ACM,"non")</f>
        <v>2</v>
      </c>
      <c r="D148" s="24">
        <f>COUNTIF('SATEMA_Cleaned Data'!ACM:ACM,"difficilement")</f>
        <v>2</v>
      </c>
      <c r="E148" s="111">
        <f>SUM(B148:D148)</f>
        <v>5</v>
      </c>
    </row>
    <row r="149" spans="1:8" s="36" customFormat="1" ht="39" customHeight="1" x14ac:dyDescent="0.3">
      <c r="A149" s="53" t="s">
        <v>3284</v>
      </c>
      <c r="B149" s="55">
        <f>B148/$E$23</f>
        <v>0.2</v>
      </c>
      <c r="C149" s="55">
        <f>C148/$E$23</f>
        <v>0.4</v>
      </c>
      <c r="D149" s="55">
        <f>D148/$E$23</f>
        <v>0.4</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COUNTIF('SATEMA_Cleaned Data'!AGJ:AGJ,"Oui")</f>
        <v>1</v>
      </c>
      <c r="C153" s="24">
        <f>COUNTIF('SATEMA_Cleaned Data'!AGJ:AGJ,"non")</f>
        <v>4</v>
      </c>
      <c r="D153" s="111">
        <f>SUM(B153:C153)</f>
        <v>5</v>
      </c>
    </row>
    <row r="154" spans="1:8" s="36" customFormat="1" ht="37.5" x14ac:dyDescent="0.3">
      <c r="A154" s="53" t="s">
        <v>3284</v>
      </c>
      <c r="B154" s="55">
        <f>B153/$E$23</f>
        <v>0.2</v>
      </c>
      <c r="C154" s="55">
        <f>C153/$E$23</f>
        <v>0.8</v>
      </c>
      <c r="D154" s="7">
        <f>SUM(B154:C154)</f>
        <v>1</v>
      </c>
    </row>
    <row r="155" spans="1:8" x14ac:dyDescent="0.3">
      <c r="A155" s="14"/>
      <c r="B155" s="15"/>
      <c r="C155" s="15"/>
    </row>
    <row r="156" spans="1:8" x14ac:dyDescent="0.3">
      <c r="A156" s="34" t="s">
        <v>2838</v>
      </c>
      <c r="B156" s="15"/>
      <c r="C156" s="15"/>
      <c r="E156" s="18" t="s">
        <v>1977</v>
      </c>
    </row>
    <row r="157" spans="1:8" x14ac:dyDescent="0.3">
      <c r="A157" s="32" t="e">
        <f>AVERAGE('SATEMA_Cleaned Data'!AGK15)</f>
        <v>#DIV/0!</v>
      </c>
      <c r="B157" s="33" t="s">
        <v>1325</v>
      </c>
      <c r="C157" s="87" t="s">
        <v>3339</v>
      </c>
      <c r="E157" s="3"/>
      <c r="F157" s="11" t="s">
        <v>1210</v>
      </c>
      <c r="G157" s="11" t="s">
        <v>1209</v>
      </c>
      <c r="H157" s="114" t="s">
        <v>1206</v>
      </c>
    </row>
    <row r="158" spans="1:8" x14ac:dyDescent="0.3">
      <c r="A158" s="32"/>
      <c r="B158" s="33"/>
      <c r="C158" s="15"/>
      <c r="E158" s="3" t="s">
        <v>1207</v>
      </c>
      <c r="F158" s="24">
        <f>COUNTIF('SATEMA_Cleaned Data'!AGT:AGT,"Oui")</f>
        <v>0</v>
      </c>
      <c r="G158" s="24">
        <f>COUNTIF('SATEMA_Cleaned Data'!AGT:AGT,"non")</f>
        <v>1</v>
      </c>
      <c r="H158" s="111">
        <f>SUM(F158:G158)</f>
        <v>1</v>
      </c>
    </row>
    <row r="159" spans="1:8" ht="26" x14ac:dyDescent="0.3">
      <c r="A159" s="34" t="s">
        <v>2839</v>
      </c>
      <c r="B159" s="33"/>
      <c r="C159" s="15"/>
      <c r="E159" s="53" t="s">
        <v>3285</v>
      </c>
      <c r="F159" s="7">
        <f>F158/$B$153</f>
        <v>0</v>
      </c>
      <c r="G159" s="7">
        <f>G158/$B$153</f>
        <v>1</v>
      </c>
      <c r="H159" s="7">
        <f>SUM(F159:G159)</f>
        <v>1</v>
      </c>
    </row>
    <row r="160" spans="1:8" x14ac:dyDescent="0.3">
      <c r="A160" s="131" t="s">
        <v>3340</v>
      </c>
      <c r="B160" s="33"/>
      <c r="C160" s="15"/>
    </row>
    <row r="161" spans="1:13" x14ac:dyDescent="0.3">
      <c r="A161" s="32"/>
      <c r="B161" s="33"/>
      <c r="C161" s="15"/>
    </row>
    <row r="162" spans="1:13" x14ac:dyDescent="0.3">
      <c r="A162" s="17" t="s">
        <v>1326</v>
      </c>
      <c r="B162" s="33"/>
      <c r="C162" s="103" t="s">
        <v>3245</v>
      </c>
    </row>
    <row r="163" spans="1:13" s="36" customFormat="1" ht="59.5" customHeight="1" x14ac:dyDescent="0.35">
      <c r="A163" s="8" t="s">
        <v>1327</v>
      </c>
      <c r="B163" s="8" t="s">
        <v>1328</v>
      </c>
      <c r="C163" s="8" t="s">
        <v>1329</v>
      </c>
      <c r="D163" s="8" t="s">
        <v>1330</v>
      </c>
      <c r="E163" s="8" t="s">
        <v>1905</v>
      </c>
      <c r="F163" s="8" t="s">
        <v>1205</v>
      </c>
    </row>
    <row r="164" spans="1:13" x14ac:dyDescent="0.3">
      <c r="A164" s="3">
        <f>COUNTIF('SATEMA_Cleaned Data'!AGM:AGM,"1")</f>
        <v>1</v>
      </c>
      <c r="B164" s="3">
        <f>COUNTIF('SATEMA_Cleaned Data'!AGN:AGN,"1")</f>
        <v>1</v>
      </c>
      <c r="C164" s="3">
        <f>COUNTIF('SATEMA_Cleaned Data'!AGO:AGO,"1")</f>
        <v>0</v>
      </c>
      <c r="D164" s="3">
        <f>COUNTIF('SATEMA_Cleaned Data'!AGP:AGP,"1")</f>
        <v>0</v>
      </c>
      <c r="E164" s="3">
        <f>COUNTIF('SATEMA_Cleaned Data'!AGQ:AGQ,"1")</f>
        <v>0</v>
      </c>
      <c r="F164" s="3">
        <f>COUNTIF('SATEMA_Cleaned Data'!AGR:AGR,"1")</f>
        <v>0</v>
      </c>
    </row>
    <row r="165" spans="1:13" x14ac:dyDescent="0.3">
      <c r="A165" s="14"/>
      <c r="B165" s="14"/>
      <c r="C165" s="14"/>
      <c r="D165" s="14"/>
      <c r="E165" s="14"/>
      <c r="F165" s="14"/>
    </row>
    <row r="166" spans="1:13" x14ac:dyDescent="0.3">
      <c r="A166" s="18" t="s">
        <v>1331</v>
      </c>
      <c r="C166" s="103" t="s">
        <v>3245</v>
      </c>
    </row>
    <row r="167" spans="1:13" x14ac:dyDescent="0.3">
      <c r="A167" s="3"/>
      <c r="B167" s="8" t="s">
        <v>1250</v>
      </c>
      <c r="C167" s="8" t="s">
        <v>1251</v>
      </c>
      <c r="D167" s="35" t="s">
        <v>1905</v>
      </c>
      <c r="E167" s="8" t="s">
        <v>1205</v>
      </c>
      <c r="F167" s="8" t="s">
        <v>1252</v>
      </c>
    </row>
    <row r="168" spans="1:13" x14ac:dyDescent="0.3">
      <c r="A168" s="3" t="s">
        <v>1207</v>
      </c>
      <c r="B168" s="3">
        <f>COUNTIF('SATEMA_Cleaned Data'!AHR:AHR,"1")</f>
        <v>1</v>
      </c>
      <c r="C168" s="3">
        <f>COUNTIF('SATEMA_Cleaned Data'!AHS:AHS,"1")</f>
        <v>0</v>
      </c>
      <c r="D168" s="3">
        <f>COUNTIF('SATEMA_Cleaned Data'!AHT:AHT,"1")</f>
        <v>0</v>
      </c>
      <c r="E168" s="3">
        <f>COUNTIF('SATEMA_Cleaned Data'!AHU:AHU,"1")</f>
        <v>0</v>
      </c>
      <c r="F168" s="3">
        <f>COUNTIF('SATEMA_Cleaned Data'!AHV:AHV,"1")</f>
        <v>4</v>
      </c>
    </row>
    <row r="169" spans="1:13" s="36" customFormat="1" ht="37" x14ac:dyDescent="0.25">
      <c r="A169" s="53" t="s">
        <v>3284</v>
      </c>
      <c r="B169" s="55">
        <f>B168/$E$23</f>
        <v>0.2</v>
      </c>
      <c r="C169" s="55">
        <f t="shared" ref="C169:F169" si="13">C168/$E$23</f>
        <v>0</v>
      </c>
      <c r="D169" s="55">
        <f t="shared" si="13"/>
        <v>0</v>
      </c>
      <c r="E169" s="55">
        <f t="shared" si="13"/>
        <v>0</v>
      </c>
      <c r="F169" s="55">
        <f t="shared" si="13"/>
        <v>0.8</v>
      </c>
    </row>
    <row r="171" spans="1:13" ht="15.5" x14ac:dyDescent="0.35">
      <c r="A171" s="29" t="s">
        <v>1299</v>
      </c>
      <c r="C171" s="103" t="s">
        <v>3245</v>
      </c>
    </row>
    <row r="172" spans="1:13" ht="70" x14ac:dyDescent="0.3">
      <c r="A172" s="8" t="s">
        <v>1475</v>
      </c>
      <c r="B172" s="8" t="s">
        <v>1332</v>
      </c>
      <c r="C172" s="8" t="s">
        <v>1333</v>
      </c>
      <c r="D172" s="8" t="s">
        <v>1978</v>
      </c>
      <c r="E172" s="8" t="s">
        <v>1979</v>
      </c>
      <c r="F172" s="8" t="s">
        <v>1980</v>
      </c>
      <c r="G172" s="8" t="s">
        <v>1981</v>
      </c>
      <c r="H172" s="8" t="s">
        <v>1764</v>
      </c>
      <c r="I172" s="8" t="s">
        <v>1905</v>
      </c>
      <c r="J172" s="8" t="s">
        <v>1205</v>
      </c>
    </row>
    <row r="173" spans="1:13" x14ac:dyDescent="0.3">
      <c r="A173" s="3">
        <f>COUNTIF('SATEMA_Cleaned Data'!AHY:AHY,"1")</f>
        <v>5</v>
      </c>
      <c r="B173" s="3">
        <f>COUNTIF('SATEMA_Cleaned Data'!AHZ:AHZ,"1")</f>
        <v>5</v>
      </c>
      <c r="C173" s="3">
        <f>COUNTIF('SATEMA_Cleaned Data'!AIA:AIA,"1")</f>
        <v>5</v>
      </c>
      <c r="D173" s="3">
        <f>COUNTIF('SATEMA_Cleaned Data'!AIB:AIB,"1")</f>
        <v>4</v>
      </c>
      <c r="E173" s="3">
        <f>COUNTIF('SATEMA_Cleaned Data'!AIC:AIC,"1")</f>
        <v>0</v>
      </c>
      <c r="F173" s="3">
        <f>COUNTIF('SATEMA_Cleaned Data'!AID:AID,"1")</f>
        <v>0</v>
      </c>
      <c r="G173" s="3">
        <f>COUNTIF('SATEMA_Cleaned Data'!AIE:AIE,"1")</f>
        <v>0</v>
      </c>
      <c r="H173" s="3">
        <f>COUNTIF('SATEMA_Cleaned Data'!AIG:AIG,"1")</f>
        <v>0</v>
      </c>
      <c r="I173" s="3">
        <f>COUNTIF('SATEMA_Cleaned Data'!AIH:AIH,"1")</f>
        <v>0</v>
      </c>
      <c r="J173" s="3">
        <f>COUNTIF('SATEMA_Cleaned Data'!AII:AII,"1")</f>
        <v>0</v>
      </c>
    </row>
    <row r="174" spans="1:13" x14ac:dyDescent="0.3">
      <c r="J174" s="74"/>
    </row>
    <row r="175" spans="1:13" ht="15.5" x14ac:dyDescent="0.35">
      <c r="A175" s="29" t="s">
        <v>1300</v>
      </c>
      <c r="D175" s="103" t="s">
        <v>3245</v>
      </c>
    </row>
    <row r="176" spans="1:13" ht="42" x14ac:dyDescent="0.3">
      <c r="A176" s="8" t="s">
        <v>1912</v>
      </c>
      <c r="B176" s="8" t="s">
        <v>1982</v>
      </c>
      <c r="C176" s="8" t="s">
        <v>1913</v>
      </c>
      <c r="D176" s="8" t="s">
        <v>1914</v>
      </c>
      <c r="E176" s="8" t="s">
        <v>1915</v>
      </c>
      <c r="F176" s="8" t="s">
        <v>1916</v>
      </c>
      <c r="G176" s="8" t="s">
        <v>1917</v>
      </c>
      <c r="H176" s="8" t="s">
        <v>1918</v>
      </c>
      <c r="I176" s="8" t="s">
        <v>1919</v>
      </c>
      <c r="J176" s="8" t="s">
        <v>1920</v>
      </c>
      <c r="K176" s="8" t="s">
        <v>1252</v>
      </c>
      <c r="L176" s="8" t="s">
        <v>1905</v>
      </c>
      <c r="M176" s="8" t="s">
        <v>1205</v>
      </c>
    </row>
    <row r="177" spans="1:16" x14ac:dyDescent="0.3">
      <c r="A177" s="24">
        <f>COUNTIF('SATEMA_Cleaned Data'!AIL:AIL,"1")</f>
        <v>0</v>
      </c>
      <c r="B177" s="24">
        <f>COUNTIF('SATEMA_Cleaned Data'!AIM:AIM,"1")</f>
        <v>5</v>
      </c>
      <c r="C177" s="24">
        <f>COUNTIF('SATEMA_Cleaned Data'!AIN:AIN,"1")</f>
        <v>0</v>
      </c>
      <c r="D177" s="24">
        <f>COUNTIF('SATEMA_Cleaned Data'!AIO:AIO,"1")</f>
        <v>1</v>
      </c>
      <c r="E177" s="24">
        <f>COUNTIF('SATEMA_Cleaned Data'!AIP:AIP,"1")</f>
        <v>2</v>
      </c>
      <c r="F177" s="24">
        <f>COUNTIF('SATEMA_Cleaned Data'!AIQ:AIQ,"1")</f>
        <v>4</v>
      </c>
      <c r="G177" s="24">
        <f>COUNTIF('SATEMA_Cleaned Data'!AIR:AIR,"1")</f>
        <v>1</v>
      </c>
      <c r="H177" s="24">
        <f>COUNTIF('SATEMA_Cleaned Data'!AIS:AIS,"1")</f>
        <v>2</v>
      </c>
      <c r="I177" s="24">
        <f>COUNTIF('SATEMA_Cleaned Data'!AIT:AIT,"1")</f>
        <v>1</v>
      </c>
      <c r="J177" s="24">
        <f>COUNTIF('SATEMA_Cleaned Data'!AIX:AIX,"1")</f>
        <v>3</v>
      </c>
      <c r="K177" s="24">
        <f>COUNTIF('SATEMA_Cleaned Data'!AIU:AIU,"1")</f>
        <v>0</v>
      </c>
      <c r="L177" s="24">
        <f>COUNTIF('SATEMA_Cleaned Data'!AIV:AIV,"1")</f>
        <v>0</v>
      </c>
      <c r="M177" s="24">
        <f>COUNTIF('SATEMA_Cleaned Data'!AIW:AIW,"1")</f>
        <v>0</v>
      </c>
    </row>
    <row r="179" spans="1:16" ht="15.5" x14ac:dyDescent="0.35">
      <c r="A179" s="29" t="s">
        <v>1334</v>
      </c>
    </row>
    <row r="180" spans="1:16" x14ac:dyDescent="0.3">
      <c r="A180" s="3"/>
      <c r="B180" s="8" t="s">
        <v>1210</v>
      </c>
      <c r="C180" s="8" t="s">
        <v>1209</v>
      </c>
      <c r="D180" s="114" t="s">
        <v>1206</v>
      </c>
    </row>
    <row r="181" spans="1:16" x14ac:dyDescent="0.3">
      <c r="A181" s="3" t="s">
        <v>1207</v>
      </c>
      <c r="B181" s="24">
        <f>COUNTIF('SATEMA_Cleaned Data'!AIZ:AIZ,"OUI")</f>
        <v>3</v>
      </c>
      <c r="C181" s="24">
        <f>COUNTIF('SATEMA_Cleaned Data'!AIZ:AIZ,"non")</f>
        <v>2</v>
      </c>
      <c r="D181" s="111">
        <f>SUM(B181:C181)</f>
        <v>5</v>
      </c>
    </row>
    <row r="182" spans="1:16" ht="26" x14ac:dyDescent="0.3">
      <c r="A182" s="53" t="s">
        <v>3273</v>
      </c>
      <c r="B182" s="7">
        <f>(B181/$B$3)</f>
        <v>0.6</v>
      </c>
      <c r="C182" s="7">
        <f>(C181/$B$3)</f>
        <v>0.4</v>
      </c>
      <c r="D182" s="7">
        <f>SUM(B182:C182)</f>
        <v>1</v>
      </c>
    </row>
    <row r="184" spans="1:16" x14ac:dyDescent="0.3">
      <c r="B184" s="18" t="s">
        <v>1262</v>
      </c>
      <c r="D184" s="103" t="s">
        <v>3245</v>
      </c>
    </row>
    <row r="185" spans="1:16" ht="14.5" x14ac:dyDescent="0.35">
      <c r="B185" s="3"/>
      <c r="C185" s="11" t="s">
        <v>1263</v>
      </c>
      <c r="D185" s="11" t="s">
        <v>1264</v>
      </c>
      <c r="E185" s="11" t="s">
        <v>1256</v>
      </c>
      <c r="F185" s="11" t="s">
        <v>1257</v>
      </c>
      <c r="G185" s="11" t="s">
        <v>1240</v>
      </c>
      <c r="H185" s="11" t="s">
        <v>1905</v>
      </c>
      <c r="I185" s="11" t="s">
        <v>1205</v>
      </c>
      <c r="J185" s="23"/>
      <c r="K185" s="23"/>
    </row>
    <row r="186" spans="1:16" x14ac:dyDescent="0.3">
      <c r="B186" s="3" t="s">
        <v>1207</v>
      </c>
      <c r="C186" s="24">
        <f>COUNTIF('SATEMA_Cleaned Data'!AJB:AJB,"1")</f>
        <v>0</v>
      </c>
      <c r="D186" s="24">
        <f>COUNTIF('SATEMA_Cleaned Data'!AJC:AJC,"1")</f>
        <v>0</v>
      </c>
      <c r="E186" s="24">
        <f>COUNTIF('SATEMA_Cleaned Data'!AJD:AJD,"1")</f>
        <v>0</v>
      </c>
      <c r="F186" s="24">
        <f>COUNTIF('SATEMA_Cleaned Data'!AJE:AJE,"1")</f>
        <v>1</v>
      </c>
      <c r="G186" s="24">
        <f>COUNTIF('SATEMA_Cleaned Data'!AJF:AJF,"1")</f>
        <v>2</v>
      </c>
      <c r="H186" s="24">
        <f>COUNTIF('SATEMA_Cleaned Data'!AJG:AJG,"1")</f>
        <v>0</v>
      </c>
      <c r="I186" s="24">
        <f>COUNTIF('SATEMA_Cleaned Data'!AJH:AJH,"1")</f>
        <v>0</v>
      </c>
    </row>
    <row r="187" spans="1:16" ht="37.5" x14ac:dyDescent="0.3">
      <c r="B187" s="53" t="s">
        <v>3286</v>
      </c>
      <c r="C187" s="7">
        <f>C186/$B$181</f>
        <v>0</v>
      </c>
      <c r="D187" s="7">
        <f t="shared" ref="D187:I187" si="14">D186/$B$181</f>
        <v>0</v>
      </c>
      <c r="E187" s="7">
        <f t="shared" si="14"/>
        <v>0</v>
      </c>
      <c r="F187" s="7">
        <f t="shared" si="14"/>
        <v>0.33333333333333331</v>
      </c>
      <c r="G187" s="7">
        <f t="shared" si="14"/>
        <v>0.66666666666666663</v>
      </c>
      <c r="H187" s="7">
        <f t="shared" si="14"/>
        <v>0</v>
      </c>
      <c r="I187" s="7">
        <f t="shared" si="14"/>
        <v>0</v>
      </c>
    </row>
    <row r="189" spans="1:16" x14ac:dyDescent="0.3">
      <c r="B189" s="18" t="s">
        <v>1265</v>
      </c>
      <c r="D189" s="103" t="s">
        <v>3245</v>
      </c>
    </row>
    <row r="190" spans="1:16" ht="70" x14ac:dyDescent="0.35">
      <c r="B190" s="3"/>
      <c r="C190" s="11" t="s">
        <v>1534</v>
      </c>
      <c r="D190" s="11" t="s">
        <v>1535</v>
      </c>
      <c r="E190" s="11" t="s">
        <v>1985</v>
      </c>
      <c r="F190" s="11" t="s">
        <v>1536</v>
      </c>
      <c r="G190" s="11" t="s">
        <v>1986</v>
      </c>
      <c r="H190" s="11" t="s">
        <v>1987</v>
      </c>
      <c r="I190" s="11" t="s">
        <v>1988</v>
      </c>
      <c r="J190" s="11" t="s">
        <v>1526</v>
      </c>
      <c r="K190" s="11" t="s">
        <v>1527</v>
      </c>
      <c r="L190" s="11" t="s">
        <v>1525</v>
      </c>
      <c r="M190" s="11" t="s">
        <v>1905</v>
      </c>
      <c r="N190" s="11" t="s">
        <v>1205</v>
      </c>
      <c r="P190" s="23"/>
    </row>
    <row r="191" spans="1:16" x14ac:dyDescent="0.3">
      <c r="B191" s="3" t="s">
        <v>1207</v>
      </c>
      <c r="C191" s="24">
        <f>COUNTIF('SATEMA_Cleaned Data'!AJK:AJK,"1")</f>
        <v>0</v>
      </c>
      <c r="D191" s="24">
        <f>COUNTIF('SATEMA_Cleaned Data'!AJL:AJL,"1")</f>
        <v>0</v>
      </c>
      <c r="E191" s="24">
        <f>COUNTIF('SATEMA_Cleaned Data'!AJM:AJM,"1")</f>
        <v>1</v>
      </c>
      <c r="F191" s="24">
        <f>COUNTIF('SATEMA_Cleaned Data'!AJN:AJN,"1")</f>
        <v>0</v>
      </c>
      <c r="G191" s="24">
        <f>COUNTIF('SATEMA_Cleaned Data'!AJO:AJO,"1")</f>
        <v>1</v>
      </c>
      <c r="H191" s="24">
        <f>COUNTIF('SATEMA_Cleaned Data'!AJP:AJP,"1")</f>
        <v>1</v>
      </c>
      <c r="I191" s="24">
        <f>COUNTIF('SATEMA_Cleaned Data'!AJQ:AJQ,"1")</f>
        <v>2</v>
      </c>
      <c r="J191" s="24">
        <f>COUNTIF('SATEMA_Cleaned Data'!AJR:AJR,"1")</f>
        <v>3</v>
      </c>
      <c r="K191" s="24">
        <f>COUNTIF('SATEMA_Cleaned Data'!AJS:AJS,"1")</f>
        <v>0</v>
      </c>
      <c r="L191" s="24">
        <f>COUNTIF('SATEMA_Cleaned Data'!AJT:AJT,"1")</f>
        <v>2</v>
      </c>
      <c r="M191" s="24">
        <f>COUNTIF('SATEMA_Cleaned Data'!AJU:AJU,"1")</f>
        <v>0</v>
      </c>
      <c r="N191" s="24">
        <f>COUNTIF('SATEMA_Cleaned Data'!AJV:AJV,"1")</f>
        <v>0</v>
      </c>
    </row>
    <row r="192" spans="1:16" ht="37.5" x14ac:dyDescent="0.3">
      <c r="B192" s="53" t="s">
        <v>3286</v>
      </c>
      <c r="C192" s="7">
        <f>C191/$B$181</f>
        <v>0</v>
      </c>
      <c r="D192" s="7">
        <f t="shared" ref="D192:N192" si="15">D191/$B$181</f>
        <v>0</v>
      </c>
      <c r="E192" s="7">
        <f t="shared" si="15"/>
        <v>0.33333333333333331</v>
      </c>
      <c r="F192" s="7">
        <f t="shared" si="15"/>
        <v>0</v>
      </c>
      <c r="G192" s="7">
        <f t="shared" si="15"/>
        <v>0.33333333333333331</v>
      </c>
      <c r="H192" s="7">
        <f t="shared" si="15"/>
        <v>0.33333333333333331</v>
      </c>
      <c r="I192" s="7">
        <f t="shared" si="15"/>
        <v>0.66666666666666663</v>
      </c>
      <c r="J192" s="7">
        <f t="shared" si="15"/>
        <v>1</v>
      </c>
      <c r="K192" s="7">
        <f t="shared" si="15"/>
        <v>0</v>
      </c>
      <c r="L192" s="7">
        <f t="shared" si="15"/>
        <v>0.66666666666666663</v>
      </c>
      <c r="M192" s="7">
        <f t="shared" si="15"/>
        <v>0</v>
      </c>
      <c r="N192" s="7">
        <f t="shared" si="15"/>
        <v>0</v>
      </c>
    </row>
    <row r="193" spans="1:12" x14ac:dyDescent="0.3">
      <c r="B193" s="50"/>
    </row>
    <row r="194" spans="1:12" x14ac:dyDescent="0.3">
      <c r="B194" s="18" t="s">
        <v>1407</v>
      </c>
    </row>
    <row r="195" spans="1:12" x14ac:dyDescent="0.3">
      <c r="B195" s="3"/>
      <c r="C195" s="11" t="s">
        <v>1210</v>
      </c>
      <c r="D195" s="11" t="s">
        <v>1209</v>
      </c>
      <c r="E195" s="114" t="s">
        <v>1206</v>
      </c>
    </row>
    <row r="196" spans="1:12" x14ac:dyDescent="0.3">
      <c r="B196" s="3" t="s">
        <v>1207</v>
      </c>
      <c r="C196" s="24">
        <f>COUNTIF('SATEMA_Cleaned Data'!AJX:AJX,"OUI")</f>
        <v>3</v>
      </c>
      <c r="D196" s="24">
        <f>COUNTIF('SATEMA_Cleaned Data'!AJX:AJX,"non")</f>
        <v>0</v>
      </c>
      <c r="E196" s="111">
        <f>SUM(C196:D196)</f>
        <v>3</v>
      </c>
    </row>
    <row r="197" spans="1:12" ht="37.5" x14ac:dyDescent="0.3">
      <c r="B197" s="53" t="s">
        <v>3286</v>
      </c>
      <c r="C197" s="7">
        <f>(C196/$B$181)</f>
        <v>1</v>
      </c>
      <c r="D197" s="7">
        <f>(D196/$B$181)</f>
        <v>0</v>
      </c>
      <c r="E197" s="7">
        <f>SUM(C197:D197)</f>
        <v>1</v>
      </c>
    </row>
    <row r="199" spans="1:12" x14ac:dyDescent="0.3">
      <c r="C199" s="18" t="s">
        <v>1270</v>
      </c>
      <c r="E199" s="103" t="s">
        <v>3245</v>
      </c>
    </row>
    <row r="200" spans="1:12" x14ac:dyDescent="0.3">
      <c r="C200" s="3"/>
      <c r="D200" s="11" t="s">
        <v>1271</v>
      </c>
      <c r="E200" s="11" t="s">
        <v>1272</v>
      </c>
      <c r="F200" s="11" t="s">
        <v>1273</v>
      </c>
      <c r="G200" s="11" t="s">
        <v>1274</v>
      </c>
      <c r="H200" s="11" t="s">
        <v>1205</v>
      </c>
    </row>
    <row r="201" spans="1:12" x14ac:dyDescent="0.3">
      <c r="C201" s="3" t="s">
        <v>1207</v>
      </c>
      <c r="D201" s="4">
        <f>COUNTIF('SATEMA_Cleaned Data'!AJZ:AJZ,"1")</f>
        <v>0</v>
      </c>
      <c r="E201" s="4">
        <f>COUNTIF('SATEMA_Cleaned Data'!AKA:AKA,"1")</f>
        <v>0</v>
      </c>
      <c r="F201" s="4">
        <f>COUNTIF('SATEMA_Cleaned Data'!AKB:AKB,"1")</f>
        <v>0</v>
      </c>
      <c r="G201" s="4">
        <f>COUNTIF('SATEMA_Cleaned Data'!AKC:AKC,"1")</f>
        <v>0</v>
      </c>
      <c r="H201" s="4">
        <f>COUNTIF('SATEMA_Cleaned Data'!AKD:AKD,"1")</f>
        <v>0</v>
      </c>
    </row>
    <row r="202" spans="1:12" ht="49" x14ac:dyDescent="0.3">
      <c r="C202" s="53" t="s">
        <v>3287</v>
      </c>
      <c r="D202" s="7" t="e">
        <f>D201/$D$196</f>
        <v>#DIV/0!</v>
      </c>
      <c r="E202" s="7" t="e">
        <f t="shared" ref="E202:H202" si="16">E201/$D$196</f>
        <v>#DIV/0!</v>
      </c>
      <c r="F202" s="7" t="e">
        <f t="shared" si="16"/>
        <v>#DIV/0!</v>
      </c>
      <c r="G202" s="7" t="e">
        <f t="shared" si="16"/>
        <v>#DIV/0!</v>
      </c>
      <c r="H202" s="7" t="e">
        <f t="shared" si="16"/>
        <v>#DIV/0!</v>
      </c>
    </row>
    <row r="204" spans="1:12" ht="15.5" x14ac:dyDescent="0.35">
      <c r="A204" s="9" t="s">
        <v>1301</v>
      </c>
      <c r="C204" s="103" t="s">
        <v>3245</v>
      </c>
    </row>
    <row r="206" spans="1:12" ht="70" x14ac:dyDescent="0.3">
      <c r="A206" s="8" t="s">
        <v>1534</v>
      </c>
      <c r="B206" s="8" t="s">
        <v>1535</v>
      </c>
      <c r="C206" s="8" t="s">
        <v>1985</v>
      </c>
      <c r="D206" s="8" t="s">
        <v>1536</v>
      </c>
      <c r="E206" s="8" t="s">
        <v>1986</v>
      </c>
      <c r="F206" s="8" t="s">
        <v>1987</v>
      </c>
      <c r="G206" s="8" t="s">
        <v>1988</v>
      </c>
      <c r="H206" s="8" t="s">
        <v>1526</v>
      </c>
      <c r="I206" s="8" t="s">
        <v>1527</v>
      </c>
      <c r="J206" s="8" t="s">
        <v>1525</v>
      </c>
      <c r="K206" s="8" t="s">
        <v>1905</v>
      </c>
      <c r="L206" s="8" t="s">
        <v>1205</v>
      </c>
    </row>
    <row r="207" spans="1:12" x14ac:dyDescent="0.3">
      <c r="A207" s="24">
        <f>COUNTIF('SATEMA_Cleaned Data'!AKG:AKG,"1")</f>
        <v>4</v>
      </c>
      <c r="B207" s="24">
        <f>COUNTIF('SATEMA_Cleaned Data'!AKH:AKH,"1")</f>
        <v>4</v>
      </c>
      <c r="C207" s="24">
        <f>COUNTIF('SATEMA_Cleaned Data'!AKI:AKI,"1")</f>
        <v>5</v>
      </c>
      <c r="D207" s="24">
        <f>COUNTIF('SATEMA_Cleaned Data'!AKJ:AKJ,"1")</f>
        <v>4</v>
      </c>
      <c r="E207" s="24">
        <f>COUNTIF('SATEMA_Cleaned Data'!AKK:AKK,"1")</f>
        <v>4</v>
      </c>
      <c r="F207" s="24">
        <f>COUNTIF('SATEMA_Cleaned Data'!AKL:AKL,"1")</f>
        <v>4</v>
      </c>
      <c r="G207" s="24">
        <f>COUNTIF('SATEMA_Cleaned Data'!AKM:AKM,"1")</f>
        <v>4</v>
      </c>
      <c r="H207" s="24">
        <f>COUNTIF('SATEMA_Cleaned Data'!AKN:AKN,"1")</f>
        <v>5</v>
      </c>
      <c r="I207" s="24">
        <f>COUNTIF('SATEMA_Cleaned Data'!AKO:AKO,"1")</f>
        <v>0</v>
      </c>
      <c r="J207" s="24">
        <f>COUNTIF('SATEMA_Cleaned Data'!AKP:AKP,"1")</f>
        <v>3</v>
      </c>
      <c r="K207" s="24">
        <f>COUNTIF('SATEMA_Cleaned Data'!AKQ:AKQ,"1")</f>
        <v>0</v>
      </c>
      <c r="L207" s="24">
        <f>COUNTIF('SATEMA_Cleaned Data'!AKR:AKR,"1")</f>
        <v>0</v>
      </c>
    </row>
    <row r="208" spans="1:12" x14ac:dyDescent="0.3">
      <c r="L208" s="74"/>
    </row>
  </sheetData>
  <conditionalFormatting sqref="B53:L53">
    <cfRule type="colorScale" priority="35">
      <colorScale>
        <cfvo type="min"/>
        <cfvo type="max"/>
        <color theme="6" tint="0.79998168889431442"/>
        <color theme="5" tint="0.39997558519241921"/>
      </colorScale>
    </cfRule>
  </conditionalFormatting>
  <conditionalFormatting sqref="C112:F112">
    <cfRule type="colorScale" priority="34">
      <colorScale>
        <cfvo type="min"/>
        <cfvo type="max"/>
        <color theme="6" tint="0.79998168889431442"/>
        <color theme="5" tint="0.39997558519241921"/>
      </colorScale>
    </cfRule>
  </conditionalFormatting>
  <conditionalFormatting sqref="C117:I117">
    <cfRule type="colorScale" priority="33">
      <colorScale>
        <cfvo type="min"/>
        <cfvo type="max"/>
        <color theme="6" tint="0.79998168889431442"/>
        <color theme="5" tint="0.39997558519241921"/>
      </colorScale>
    </cfRule>
  </conditionalFormatting>
  <conditionalFormatting sqref="C122:J122">
    <cfRule type="colorScale" priority="32">
      <colorScale>
        <cfvo type="min"/>
        <cfvo type="max"/>
        <color theme="6" tint="0.79998168889431442"/>
        <color theme="5" tint="0.39997558519241921"/>
      </colorScale>
    </cfRule>
  </conditionalFormatting>
  <conditionalFormatting sqref="A164:F165">
    <cfRule type="colorScale" priority="36">
      <colorScale>
        <cfvo type="min"/>
        <cfvo type="max"/>
        <color theme="6" tint="0.79998168889431442"/>
        <color theme="5" tint="0.39997558519241921"/>
      </colorScale>
    </cfRule>
  </conditionalFormatting>
  <conditionalFormatting sqref="B168:F168">
    <cfRule type="colorScale" priority="31">
      <colorScale>
        <cfvo type="min"/>
        <cfvo type="max"/>
        <color theme="6" tint="0.79998168889431442"/>
        <color theme="5" tint="0.39997558519241921"/>
      </colorScale>
    </cfRule>
  </conditionalFormatting>
  <conditionalFormatting sqref="A173:J173">
    <cfRule type="colorScale" priority="37">
      <colorScale>
        <cfvo type="min"/>
        <cfvo type="max"/>
        <color theme="6" tint="0.79998168889431442"/>
        <color theme="5" tint="0.39997558519241921"/>
      </colorScale>
    </cfRule>
  </conditionalFormatting>
  <conditionalFormatting sqref="A177:M177">
    <cfRule type="colorScale" priority="30">
      <colorScale>
        <cfvo type="min"/>
        <cfvo type="max"/>
        <color theme="6" tint="0.79998168889431442"/>
        <color theme="5" tint="0.39997558519241921"/>
      </colorScale>
    </cfRule>
  </conditionalFormatting>
  <conditionalFormatting sqref="D201:H201">
    <cfRule type="colorScale" priority="29">
      <colorScale>
        <cfvo type="min"/>
        <cfvo type="max"/>
        <color theme="6" tint="0.79998168889431442"/>
        <color theme="5" tint="0.39997558519241921"/>
      </colorScale>
    </cfRule>
  </conditionalFormatting>
  <conditionalFormatting sqref="A207:L207">
    <cfRule type="colorScale" priority="28">
      <colorScale>
        <cfvo type="min"/>
        <cfvo type="max"/>
        <color theme="6" tint="0.79998168889431442"/>
        <color theme="5" tint="0.39997558519241921"/>
      </colorScale>
    </cfRule>
  </conditionalFormatting>
  <conditionalFormatting sqref="C191:N191">
    <cfRule type="colorScale" priority="27">
      <colorScale>
        <cfvo type="min"/>
        <cfvo type="max"/>
        <color theme="6" tint="0.79998168889431442"/>
        <color theme="5" tint="0.39997558519241921"/>
      </colorScale>
    </cfRule>
  </conditionalFormatting>
  <conditionalFormatting sqref="B7:D7">
    <cfRule type="colorScale" priority="26">
      <colorScale>
        <cfvo type="min"/>
        <cfvo type="max"/>
        <color theme="6" tint="0.79998168889431442"/>
        <color theme="5" tint="0.39997558519241921"/>
      </colorScale>
    </cfRule>
  </conditionalFormatting>
  <conditionalFormatting sqref="B18:D18">
    <cfRule type="colorScale" priority="25">
      <colorScale>
        <cfvo type="min"/>
        <cfvo type="max"/>
        <color theme="6" tint="0.79998168889431442"/>
        <color theme="5" tint="0.39997558519241921"/>
      </colorScale>
    </cfRule>
  </conditionalFormatting>
  <conditionalFormatting sqref="B23:D23">
    <cfRule type="colorScale" priority="24">
      <colorScale>
        <cfvo type="min"/>
        <cfvo type="max"/>
        <color theme="6" tint="0.79998168889431442"/>
        <color theme="5" tint="0.39997558519241921"/>
      </colorScale>
    </cfRule>
  </conditionalFormatting>
  <conditionalFormatting sqref="C28:K28">
    <cfRule type="colorScale" priority="23">
      <colorScale>
        <cfvo type="min"/>
        <cfvo type="max"/>
        <color theme="6" tint="0.79998168889431442"/>
        <color theme="5" tint="0.39997558519241921"/>
      </colorScale>
    </cfRule>
  </conditionalFormatting>
  <conditionalFormatting sqref="C38:J38">
    <cfRule type="colorScale" priority="22">
      <colorScale>
        <cfvo type="min"/>
        <cfvo type="max"/>
        <color theme="6" tint="0.79998168889431442"/>
        <color theme="5" tint="0.39997558519241921"/>
      </colorScale>
    </cfRule>
  </conditionalFormatting>
  <conditionalFormatting sqref="C33:G33">
    <cfRule type="colorScale" priority="21">
      <colorScale>
        <cfvo type="min"/>
        <cfvo type="max"/>
        <color theme="6" tint="0.79998168889431442"/>
        <color theme="5" tint="0.39997558519241921"/>
      </colorScale>
    </cfRule>
  </conditionalFormatting>
  <conditionalFormatting sqref="C43:G43">
    <cfRule type="colorScale" priority="20">
      <colorScale>
        <cfvo type="min"/>
        <cfvo type="max"/>
        <color theme="6" tint="0.79998168889431442"/>
        <color theme="5" tint="0.39997558519241921"/>
      </colorScale>
    </cfRule>
  </conditionalFormatting>
  <conditionalFormatting sqref="B48:H48">
    <cfRule type="colorScale" priority="19">
      <colorScale>
        <cfvo type="min"/>
        <cfvo type="max"/>
        <color theme="6" tint="0.79998168889431442"/>
        <color theme="5" tint="0.39997558519241921"/>
      </colorScale>
    </cfRule>
  </conditionalFormatting>
  <conditionalFormatting sqref="B58:C58">
    <cfRule type="colorScale" priority="18">
      <colorScale>
        <cfvo type="min"/>
        <cfvo type="max"/>
        <color theme="6" tint="0.79998168889431442"/>
        <color theme="5" tint="0.39997558519241921"/>
      </colorScale>
    </cfRule>
  </conditionalFormatting>
  <conditionalFormatting sqref="C66:D66">
    <cfRule type="colorScale" priority="17">
      <colorScale>
        <cfvo type="min"/>
        <cfvo type="max"/>
        <color theme="6" tint="0.79998168889431442"/>
        <color theme="5" tint="0.39997558519241921"/>
      </colorScale>
    </cfRule>
  </conditionalFormatting>
  <conditionalFormatting sqref="C76:D76">
    <cfRule type="colorScale" priority="16">
      <colorScale>
        <cfvo type="min"/>
        <cfvo type="max"/>
        <color theme="6" tint="0.79998168889431442"/>
        <color theme="5" tint="0.39997558519241921"/>
      </colorScale>
    </cfRule>
  </conditionalFormatting>
  <conditionalFormatting sqref="B81:C81">
    <cfRule type="colorScale" priority="15">
      <colorScale>
        <cfvo type="min"/>
        <cfvo type="max"/>
        <color theme="6" tint="0.79998168889431442"/>
        <color theme="5" tint="0.39997558519241921"/>
      </colorScale>
    </cfRule>
  </conditionalFormatting>
  <conditionalFormatting sqref="B148:C148">
    <cfRule type="colorScale" priority="14">
      <colorScale>
        <cfvo type="min"/>
        <cfvo type="max"/>
        <color theme="6" tint="0.79998168889431442"/>
        <color theme="5" tint="0.39997558519241921"/>
      </colorScale>
    </cfRule>
  </conditionalFormatting>
  <conditionalFormatting sqref="B107:C107">
    <cfRule type="colorScale" priority="13">
      <colorScale>
        <cfvo type="min"/>
        <cfvo type="max"/>
        <color theme="6" tint="0.79998168889431442"/>
        <color theme="5" tint="0.39997558519241921"/>
      </colorScale>
    </cfRule>
  </conditionalFormatting>
  <conditionalFormatting sqref="B136:D136">
    <cfRule type="colorScale" priority="12">
      <colorScale>
        <cfvo type="min"/>
        <cfvo type="max"/>
        <color theme="6" tint="0.79998168889431442"/>
        <color theme="5" tint="0.39997558519241921"/>
      </colorScale>
    </cfRule>
  </conditionalFormatting>
  <conditionalFormatting sqref="B141:D141">
    <cfRule type="colorScale" priority="11">
      <colorScale>
        <cfvo type="min"/>
        <cfvo type="max"/>
        <color theme="6" tint="0.79998168889431442"/>
        <color theme="5" tint="0.39997558519241921"/>
      </colorScale>
    </cfRule>
  </conditionalFormatting>
  <conditionalFormatting sqref="B153:C153">
    <cfRule type="colorScale" priority="10">
      <colorScale>
        <cfvo type="min"/>
        <cfvo type="max"/>
        <color theme="6" tint="0.79998168889431442"/>
        <color theme="5" tint="0.39997558519241921"/>
      </colorScale>
    </cfRule>
  </conditionalFormatting>
  <conditionalFormatting sqref="F158:G158">
    <cfRule type="colorScale" priority="9">
      <colorScale>
        <cfvo type="min"/>
        <cfvo type="max"/>
        <color theme="6" tint="0.79998168889431442"/>
        <color theme="5" tint="0.39997558519241921"/>
      </colorScale>
    </cfRule>
  </conditionalFormatting>
  <conditionalFormatting sqref="B181:C181">
    <cfRule type="colorScale" priority="8">
      <colorScale>
        <cfvo type="min"/>
        <cfvo type="max"/>
        <color theme="6" tint="0.79998168889431442"/>
        <color theme="5" tint="0.39997558519241921"/>
      </colorScale>
    </cfRule>
  </conditionalFormatting>
  <conditionalFormatting sqref="C186:I186">
    <cfRule type="colorScale" priority="7">
      <colorScale>
        <cfvo type="min"/>
        <cfvo type="max"/>
        <color theme="6" tint="0.79998168889431442"/>
        <color theme="5" tint="0.39997558519241921"/>
      </colorScale>
    </cfRule>
  </conditionalFormatting>
  <conditionalFormatting sqref="C196:D196">
    <cfRule type="colorScale" priority="6">
      <colorScale>
        <cfvo type="min"/>
        <cfvo type="max"/>
        <color theme="6" tint="0.79998168889431442"/>
        <color theme="5" tint="0.39997558519241921"/>
      </colorScale>
    </cfRule>
  </conditionalFormatting>
  <conditionalFormatting sqref="B12:F12">
    <cfRule type="colorScale" priority="5">
      <colorScale>
        <cfvo type="min"/>
        <cfvo type="max"/>
        <color theme="6" tint="0.79998168889431442"/>
        <color theme="5" tint="0.39997558519241921"/>
      </colorScale>
    </cfRule>
  </conditionalFormatting>
  <conditionalFormatting sqref="D148">
    <cfRule type="colorScale" priority="4">
      <colorScale>
        <cfvo type="min"/>
        <cfvo type="max"/>
        <color theme="6" tint="0.79998168889431442"/>
        <color theme="5" tint="0.39997558519241921"/>
      </colorScale>
    </cfRule>
  </conditionalFormatting>
  <conditionalFormatting sqref="C86:K86">
    <cfRule type="colorScale" priority="3">
      <colorScale>
        <cfvo type="min"/>
        <cfvo type="max"/>
        <color theme="6" tint="0.79998168889431442"/>
        <color theme="5" tint="0.39997558519241921"/>
      </colorScale>
    </cfRule>
  </conditionalFormatting>
  <conditionalFormatting sqref="D107">
    <cfRule type="colorScale" priority="2">
      <colorScale>
        <cfvo type="min"/>
        <cfvo type="max"/>
        <color theme="6" tint="0.79998168889431442"/>
        <color theme="5" tint="0.39997558519241921"/>
      </colorScale>
    </cfRule>
  </conditionalFormatting>
  <conditionalFormatting sqref="E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P157"/>
  <sheetViews>
    <sheetView zoomScale="90" zoomScaleNormal="90" workbookViewId="0">
      <selection activeCell="P145" sqref="P145"/>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COUNTIFS('SATEMA_Cleaned Data'!N:N,"marche",'SATEMA_Cleaned Data'!J:J,"SATEMA")</f>
        <v>2</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COUNTIF('SATEMA_Cleaned Data'!AKU:AKU,"oui")</f>
        <v>2</v>
      </c>
      <c r="C7" s="24">
        <f>COUNTIF('SATEMA_Cleaned Data'!AKU:AKU,"non")</f>
        <v>0</v>
      </c>
      <c r="D7" s="24">
        <f>COUNTIF('SATEMA_Cleaned Data'!AKU:AKU,"partiel")</f>
        <v>0</v>
      </c>
      <c r="E7" s="62">
        <f>SUM(B7+D7)</f>
        <v>2</v>
      </c>
    </row>
    <row r="8" spans="1:10" ht="26" x14ac:dyDescent="0.3">
      <c r="A8" s="121" t="s">
        <v>3316</v>
      </c>
      <c r="B8" s="39">
        <f>(B7/$E$7)</f>
        <v>1</v>
      </c>
      <c r="C8" s="39">
        <f>(C7/$E$7)</f>
        <v>0</v>
      </c>
      <c r="D8" s="38">
        <f>COUNTIF('SATEMA_Cleaned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COUNTIF('SATEMA_Cleaned Data'!ALF:ALF,"oui")</f>
        <v>1</v>
      </c>
      <c r="C12" s="24">
        <f>COUNTIF('SATEMA_Cleaned Data'!ALF:ALF,"non")</f>
        <v>1</v>
      </c>
      <c r="D12" s="25">
        <f>SUM(B12:C12)</f>
        <v>2</v>
      </c>
    </row>
    <row r="13" spans="1:10" ht="26" x14ac:dyDescent="0.3">
      <c r="A13" s="121" t="s">
        <v>3316</v>
      </c>
      <c r="B13" s="39">
        <f>(B12/$B$3)</f>
        <v>0.5</v>
      </c>
      <c r="C13" s="39">
        <f>(C12/$B$3)</f>
        <v>0.5</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COUNTIF('SATEMA_Cleaned Data'!ALG:ALG,"oui")</f>
        <v>2</v>
      </c>
      <c r="D17" s="24">
        <f>COUNTIF('SATEMA_Cleaned Data'!ALG:ALG,"non")</f>
        <v>0</v>
      </c>
      <c r="E17" s="25">
        <f>SUM(C17:D17)</f>
        <v>2</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COUNTIF('SATEMA_Cleaned Data'!ALO:ALO,"1")</f>
        <v>2</v>
      </c>
      <c r="C22" s="24">
        <f>COUNTIF('SATEMA_Cleaned Data'!ALP:ALP,"1")</f>
        <v>2</v>
      </c>
      <c r="D22" s="24">
        <f>COUNTIF('SATEMA_Cleaned Data'!ALQ:ALQ,"1")</f>
        <v>1</v>
      </c>
      <c r="E22" s="24">
        <f>COUNTIF('SATEMA_Cleaned Data'!ALR:ALR,"1")</f>
        <v>1</v>
      </c>
      <c r="F22" s="24">
        <f>COUNTIF('SATEMA_Cleaned Data'!ALS:ALS,"1")</f>
        <v>2</v>
      </c>
      <c r="G22" s="24">
        <f>COUNTIF('SATEMA_Cleaned Data'!ALT:ALT,"1")</f>
        <v>0</v>
      </c>
      <c r="H22" s="24">
        <f>COUNTIF('SATEMA_Cleaned Data'!ALU:ALU,"1")</f>
        <v>1</v>
      </c>
      <c r="I22" s="24">
        <f>COUNTIF('SATEMA_Cleaned Data'!ALV:ALV,"1")</f>
        <v>0</v>
      </c>
    </row>
    <row r="23" spans="1:10" ht="26" x14ac:dyDescent="0.3">
      <c r="A23" s="121" t="s">
        <v>3319</v>
      </c>
      <c r="B23" s="39">
        <f>B22/$E$7</f>
        <v>1</v>
      </c>
      <c r="C23" s="39">
        <f t="shared" ref="C23:I23" si="0">C22/$E$7</f>
        <v>1</v>
      </c>
      <c r="D23" s="39">
        <f t="shared" si="0"/>
        <v>0.5</v>
      </c>
      <c r="E23" s="39">
        <f t="shared" si="0"/>
        <v>0.5</v>
      </c>
      <c r="F23" s="39">
        <f t="shared" si="0"/>
        <v>1</v>
      </c>
      <c r="G23" s="39">
        <f t="shared" si="0"/>
        <v>0</v>
      </c>
      <c r="H23" s="39">
        <f t="shared" si="0"/>
        <v>0.5</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IF('SATEMA_Cleaned Data'!AMW:AMW&lt;999,AVERAGE('SATEMA_Cleaned Data'!AMW:AMW))</f>
        <v>40</v>
      </c>
    </row>
    <row r="28" spans="1:10" ht="15.5" x14ac:dyDescent="0.35">
      <c r="A28" s="29" t="s">
        <v>1999</v>
      </c>
    </row>
    <row r="29" spans="1:10" x14ac:dyDescent="0.3">
      <c r="A29" s="24"/>
      <c r="B29" s="8" t="s">
        <v>1210</v>
      </c>
      <c r="C29" s="8" t="s">
        <v>1209</v>
      </c>
      <c r="D29" s="127" t="s">
        <v>1206</v>
      </c>
    </row>
    <row r="30" spans="1:10" x14ac:dyDescent="0.3">
      <c r="A30" s="24" t="s">
        <v>1207</v>
      </c>
      <c r="B30" s="24">
        <f>COUNTIF('SATEMA_Cleaned Data'!AMX:AMX,"oui")</f>
        <v>1</v>
      </c>
      <c r="C30" s="24">
        <f>COUNTIF('SATEMA_Cleaned Data'!AMX:AMX,"non")</f>
        <v>1</v>
      </c>
      <c r="D30" s="25">
        <f>SUM(B30:C30)</f>
        <v>2</v>
      </c>
    </row>
    <row r="31" spans="1:10" ht="26" x14ac:dyDescent="0.3">
      <c r="A31" s="121" t="s">
        <v>3319</v>
      </c>
      <c r="B31" s="39">
        <f>(B30/$E$7)</f>
        <v>0.5</v>
      </c>
      <c r="C31" s="39">
        <f>(C30/$E$7)</f>
        <v>0.5</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COUNTIF('SATEMA_Cleaned Data'!AMY:AMY,"peu_diminue")</f>
        <v>0</v>
      </c>
      <c r="D35" s="24">
        <f>COUNTIF('SATEMA_Cleaned Data'!AMY:AMY,"bcp_diminue")</f>
        <v>0</v>
      </c>
      <c r="E35" s="24">
        <f>COUNTIF('SATEMA_Cleaned Data'!AMY:AMY,"peu_augmente")</f>
        <v>0</v>
      </c>
      <c r="F35" s="24">
        <f>COUNTIF('SATEMA_Cleaned Data'!AMY:AMY,"bcp_augmente")</f>
        <v>1</v>
      </c>
      <c r="G35" s="25">
        <f>SUM(C35:F35)</f>
        <v>1</v>
      </c>
    </row>
    <row r="36" spans="1:13" ht="49" x14ac:dyDescent="0.3">
      <c r="B36" s="121" t="s">
        <v>3320</v>
      </c>
      <c r="C36" s="39">
        <f>C35/$B$30</f>
        <v>0</v>
      </c>
      <c r="D36" s="39">
        <f t="shared" ref="D36:F36" si="1">D35/$B$30</f>
        <v>0</v>
      </c>
      <c r="E36" s="39">
        <f t="shared" si="1"/>
        <v>0</v>
      </c>
      <c r="F36" s="39">
        <f t="shared" si="1"/>
        <v>1</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COUNTIF('SATEMA_Cleaned Data'!ANL:ANL,"1")</f>
        <v>0</v>
      </c>
      <c r="D40" s="24">
        <f>COUNTIF('SATEMA_Cleaned Data'!ANM:ANM,"1")</f>
        <v>0</v>
      </c>
      <c r="E40" s="24">
        <f>COUNTIF('SATEMA_Cleaned Data'!ANN:ANN,"1")</f>
        <v>0</v>
      </c>
      <c r="F40" s="24">
        <f>COUNTIF('SATEMA_Cleaned Data'!ANO:ANO,"1")</f>
        <v>0</v>
      </c>
      <c r="G40" s="24">
        <f>COUNTIF('SATEMA_Cleaned Data'!ANP:ANP,"1")</f>
        <v>0</v>
      </c>
      <c r="H40" s="24">
        <f>COUNTIF('SATEMA_Cleaned Data'!ANV:ANV,"1")</f>
        <v>0</v>
      </c>
      <c r="I40" s="24">
        <f>COUNTIF('SATEMA_Cleaned Data'!ANQ:ANQ,"1")</f>
        <v>0</v>
      </c>
      <c r="J40" s="24">
        <f>COUNTIF('SATEMA_Cleaned Data'!ANR:ANR,"1")</f>
        <v>0</v>
      </c>
      <c r="K40" s="24">
        <f>COUNTIF('SATEMA_Cleaned Data'!ANS:ANS,"1")</f>
        <v>0</v>
      </c>
      <c r="L40" s="24">
        <f>COUNTIF('SATEMA_Cleaned Data'!ANT:ANT,"1")</f>
        <v>0</v>
      </c>
      <c r="M40" s="24">
        <f>COUNTIF('SATEMA_Cleaned Data'!ANU:ANU,"1")</f>
        <v>0</v>
      </c>
    </row>
    <row r="41" spans="1:13" ht="49" x14ac:dyDescent="0.3">
      <c r="B41" s="121" t="s">
        <v>3321</v>
      </c>
      <c r="C41" s="39" t="e">
        <f>C40/(C35+D35)</f>
        <v>#DIV/0!</v>
      </c>
      <c r="D41" s="39" t="e">
        <f>D40/(C35+D35)</f>
        <v>#DIV/0!</v>
      </c>
      <c r="E41" s="39" t="e">
        <f>E40/(C35+D35)</f>
        <v>#DIV/0!</v>
      </c>
      <c r="F41" s="39" t="e">
        <f>F40/(C35+D35)</f>
        <v>#DIV/0!</v>
      </c>
      <c r="G41" s="39" t="e">
        <f>G40/(C35+D35)</f>
        <v>#DIV/0!</v>
      </c>
      <c r="H41" s="39" t="e">
        <f>H40/(C35+D35)</f>
        <v>#DIV/0!</v>
      </c>
      <c r="I41" s="39" t="e">
        <f>I40/(C35+D35)</f>
        <v>#DIV/0!</v>
      </c>
      <c r="J41" s="39" t="e">
        <f>J40/(C35+D35)</f>
        <v>#DIV/0!</v>
      </c>
      <c r="K41" s="39" t="e">
        <f>K40/(C35+D35)</f>
        <v>#DIV/0!</v>
      </c>
      <c r="L41" s="39" t="e">
        <f>L40/(C35+D35)</f>
        <v>#DIV/0!</v>
      </c>
      <c r="M41" s="39" t="e">
        <f>M40/(C35+D35)</f>
        <v>#DIV/0!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COUNTIF('SATEMA_Cleaned Data'!ANA:ANA,"1")</f>
        <v>1</v>
      </c>
      <c r="D45" s="24">
        <f>COUNTIF('SATEMA_Cleaned Data'!ANB:ANB,"1")</f>
        <v>0</v>
      </c>
      <c r="E45" s="24">
        <f>COUNTIF('SATEMA_Cleaned Data'!ANC:ANC,"1")</f>
        <v>0</v>
      </c>
      <c r="F45" s="24">
        <f>COUNTIF('SATEMA_Cleaned Data'!AND:AND,"1")</f>
        <v>0</v>
      </c>
      <c r="G45" s="24">
        <f>COUNTIF('SATEMA_Cleaned Data'!ANE:ANE,"1")</f>
        <v>0</v>
      </c>
      <c r="H45" s="24">
        <f>COUNTIF('SATEMA_Cleaned Data'!ANF:ANF,"1")</f>
        <v>0</v>
      </c>
      <c r="I45" s="24">
        <f>COUNTIF('SATEMA_Cleaned Data'!ANG:ANG,"1")</f>
        <v>1</v>
      </c>
      <c r="J45" s="24">
        <f>COUNTIF('SATEMA_Cleaned Data'!ANH:ANH,"1")</f>
        <v>0</v>
      </c>
      <c r="K45" s="24">
        <f>COUNTIF('SATEMA_Cleaned Data'!ANI:ANI,"1")</f>
        <v>0</v>
      </c>
      <c r="L45" s="41"/>
      <c r="M45" s="41"/>
    </row>
    <row r="46" spans="1:13" ht="49" x14ac:dyDescent="0.3">
      <c r="B46" s="121" t="s">
        <v>3322</v>
      </c>
      <c r="C46" s="39">
        <f>C45/(E35+F35)</f>
        <v>1</v>
      </c>
      <c r="D46" s="39">
        <f>D45/(E35+F35)</f>
        <v>0</v>
      </c>
      <c r="E46" s="39">
        <f>E45/(E35+F35)</f>
        <v>0</v>
      </c>
      <c r="F46" s="39">
        <f>F45/(E35+F35)</f>
        <v>0</v>
      </c>
      <c r="G46" s="39">
        <f>G45/(E35+F35)</f>
        <v>0</v>
      </c>
      <c r="H46" s="39">
        <f>H45/(E35+F35)</f>
        <v>0</v>
      </c>
      <c r="I46" s="39">
        <f>I45/(E35+F35)</f>
        <v>1</v>
      </c>
      <c r="J46" s="39">
        <f>J45/(E35+F35)</f>
        <v>0</v>
      </c>
      <c r="K46" s="39">
        <f>K45/(E35+F35)</f>
        <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COUNTIF('SATEMA_Cleaned Data'!ANX:ANX,"oui")</f>
        <v>0</v>
      </c>
      <c r="C50" s="24">
        <f>COUNTIF('SATEMA_Cleaned Data'!ANX:ANX,"non")</f>
        <v>2</v>
      </c>
      <c r="D50" s="25">
        <f>SUM(B50:C50)</f>
        <v>2</v>
      </c>
    </row>
    <row r="51" spans="1:12" ht="26" x14ac:dyDescent="0.3">
      <c r="A51" s="121" t="s">
        <v>3319</v>
      </c>
      <c r="B51" s="39">
        <f>(B50/$E$7)</f>
        <v>0</v>
      </c>
      <c r="C51" s="39">
        <f>(C50/$E$7)</f>
        <v>1</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COUNTIF('SATEMA_Cleaned Data'!ARH:ARH,"1")</f>
        <v>0</v>
      </c>
      <c r="C55" s="38">
        <f>COUNTIF('SATEMA_Cleaned Data'!ARI:ARI,"1")</f>
        <v>1</v>
      </c>
      <c r="D55" s="38">
        <f>COUNTIF('SATEMA_Cleaned Data'!ARJ:ARJ,"1")</f>
        <v>1</v>
      </c>
      <c r="E55" s="38">
        <f>COUNTIF('SATEMA_Cleaned Data'!ARQ:ARQ,"1")</f>
        <v>0</v>
      </c>
      <c r="F55" s="38">
        <f>COUNTIF('SATEMA_Cleaned Data'!ARR:ARR,"1")</f>
        <v>0</v>
      </c>
      <c r="G55" s="38">
        <f>COUNTIF('SATEMA_Cleaned Data'!ARK:ARK,"1")</f>
        <v>0</v>
      </c>
      <c r="H55" s="38">
        <f>COUNTIF('SATEMA_Cleaned Data'!ARL:ARL,"1")</f>
        <v>0</v>
      </c>
      <c r="I55" s="38">
        <f>COUNTIF('SATEMA_Cleaned Data'!ARM:ARM,"1")</f>
        <v>0</v>
      </c>
      <c r="J55" s="38">
        <f>COUNTIF('SATEMA_Cleaned Data'!ARS:ARS,"1")</f>
        <v>0</v>
      </c>
      <c r="K55" s="38">
        <f>COUNTIF('SATEMA_Cleaned Data'!ARO:ARO,"1")</f>
        <v>0</v>
      </c>
      <c r="L55" s="38">
        <f>COUNTIF('SATEMA_Cleaned Data'!ARP:ARP,"1")</f>
        <v>0</v>
      </c>
    </row>
    <row r="56" spans="1:12" ht="26" x14ac:dyDescent="0.3">
      <c r="A56" s="121" t="s">
        <v>3316</v>
      </c>
      <c r="B56" s="39">
        <f t="shared" ref="B56:L56" si="2">B55/$B$3</f>
        <v>0</v>
      </c>
      <c r="C56" s="39">
        <f t="shared" si="2"/>
        <v>0.5</v>
      </c>
      <c r="D56" s="39">
        <f t="shared" si="2"/>
        <v>0.5</v>
      </c>
      <c r="E56" s="39">
        <f t="shared" si="2"/>
        <v>0</v>
      </c>
      <c r="F56" s="39">
        <f t="shared" si="2"/>
        <v>0</v>
      </c>
      <c r="G56" s="39">
        <f t="shared" si="2"/>
        <v>0</v>
      </c>
      <c r="H56" s="39">
        <f t="shared" si="2"/>
        <v>0</v>
      </c>
      <c r="I56" s="39">
        <f t="shared" si="2"/>
        <v>0</v>
      </c>
      <c r="J56" s="39">
        <f t="shared" si="2"/>
        <v>0</v>
      </c>
      <c r="K56" s="39">
        <f t="shared" si="2"/>
        <v>0</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COUNTIF('SATEMA_Cleaned Data'!AOA:AOA,"1")</f>
        <v>1</v>
      </c>
      <c r="C61" s="24">
        <f>COUNTIF('SATEMA_Cleaned Data'!AOB:AOB,"1")</f>
        <v>2</v>
      </c>
      <c r="D61" s="24">
        <f>COUNTIF('SATEMA_Cleaned Data'!AOC:AOC,"1")</f>
        <v>0</v>
      </c>
      <c r="E61" s="24">
        <f>COUNTIF('SATEMA_Cleaned Data'!AOD:AOD,"1")</f>
        <v>0</v>
      </c>
      <c r="F61" s="24">
        <f>COUNTIF('SATEMA_Cleaned Data'!AOE:AOE,"1")</f>
        <v>0</v>
      </c>
      <c r="G61" s="24">
        <f>COUNTIF('SATEMA_Cleaned Data'!AOF:AOF,"1")</f>
        <v>1</v>
      </c>
      <c r="H61" s="24">
        <f>COUNTIF('SATEMA_Cleaned Data'!AOG:AOG,"1")</f>
        <v>0</v>
      </c>
      <c r="I61" s="24">
        <f>COUNTIF('SATEMA_Cleaned Data'!AOH:AOH,"1")</f>
        <v>0</v>
      </c>
      <c r="J61" s="14"/>
    </row>
    <row r="62" spans="1:12" ht="26" x14ac:dyDescent="0.3">
      <c r="A62" s="121" t="s">
        <v>3319</v>
      </c>
      <c r="B62" s="39">
        <f>B61/$E$7</f>
        <v>0.5</v>
      </c>
      <c r="C62" s="39">
        <f t="shared" ref="C62:I62" si="3">C61/$E$7</f>
        <v>1</v>
      </c>
      <c r="D62" s="39">
        <f t="shared" si="3"/>
        <v>0</v>
      </c>
      <c r="E62" s="39">
        <f t="shared" si="3"/>
        <v>0</v>
      </c>
      <c r="F62" s="39">
        <f t="shared" si="3"/>
        <v>0</v>
      </c>
      <c r="G62" s="39">
        <f t="shared" si="3"/>
        <v>0.5</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COUNTIF('SATEMA_Cleaned Data'!AOL:AOL,"local")</f>
        <v>1</v>
      </c>
      <c r="D66" s="24">
        <f>COUNTIF('SATEMA_Cleaned Data'!AOM:AOM,"local")</f>
        <v>0</v>
      </c>
      <c r="E66" s="24">
        <f>COUNTIF('SATEMA_Cleaned Data'!AON:AON,"local")</f>
        <v>0</v>
      </c>
      <c r="F66" s="24">
        <f>COUNTIF('SATEMA_Cleaned Data'!AOO:AOO,"local")</f>
        <v>0</v>
      </c>
      <c r="G66" s="24">
        <f>COUNTIF('SATEMA_Cleaned Data'!AOP:AOP,"local")</f>
        <v>0</v>
      </c>
      <c r="H66" s="24">
        <f>COUNTIF('SATEMA_Cleaned Data'!AOQ:AOQ,"local")</f>
        <v>0</v>
      </c>
      <c r="I66" s="25">
        <f>SUM(C66:H66)</f>
        <v>1</v>
      </c>
    </row>
    <row r="67" spans="1:9" ht="37.5" x14ac:dyDescent="0.3">
      <c r="B67" s="121" t="s">
        <v>3319</v>
      </c>
      <c r="C67" s="39">
        <f>C66/$E$7</f>
        <v>0.5</v>
      </c>
      <c r="D67" s="39">
        <f t="shared" ref="D67:H67" si="4">D66/$E$7</f>
        <v>0</v>
      </c>
      <c r="E67" s="39">
        <f t="shared" si="4"/>
        <v>0</v>
      </c>
      <c r="F67" s="39">
        <f t="shared" si="4"/>
        <v>0</v>
      </c>
      <c r="G67" s="39">
        <f t="shared" si="4"/>
        <v>0</v>
      </c>
      <c r="H67" s="39">
        <f t="shared" si="4"/>
        <v>0</v>
      </c>
      <c r="I67" s="128">
        <f>SUM(C67:H67)</f>
        <v>0.5</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COUNTIF('SATEMA_Cleaned Data'!AOJ:AOJ,"hebdo")</f>
        <v>0</v>
      </c>
      <c r="D71" s="24">
        <f>COUNTIF('SATEMA_Cleaned Data'!AOJ:AOJ,"mensuel")</f>
        <v>1</v>
      </c>
      <c r="E71" s="24">
        <f>COUNTIF('SATEMA_Cleaned Data'!AOJ:AOJ,"trimestriel")</f>
        <v>0</v>
      </c>
      <c r="F71" s="24">
        <f>COUNTIF('SATEMA_Cleaned Data'!AOJ:AOJ,"nsp")</f>
        <v>0</v>
      </c>
      <c r="G71" s="24">
        <f>COUNTIF('SATEMA_Cleaned Data'!AOJ:AOJ,"autre")</f>
        <v>1</v>
      </c>
      <c r="H71" s="25">
        <f>SUM(C71:G71)</f>
        <v>2</v>
      </c>
    </row>
    <row r="72" spans="1:9" ht="37.5" x14ac:dyDescent="0.3">
      <c r="B72" s="121" t="s">
        <v>3319</v>
      </c>
      <c r="C72" s="39">
        <f>C71/$E$7</f>
        <v>0</v>
      </c>
      <c r="D72" s="39">
        <f t="shared" ref="D72:G72" si="5">D71/$E$7</f>
        <v>0.5</v>
      </c>
      <c r="E72" s="39">
        <f t="shared" si="5"/>
        <v>0</v>
      </c>
      <c r="F72" s="39">
        <f t="shared" si="5"/>
        <v>0</v>
      </c>
      <c r="G72" s="39">
        <f t="shared" si="5"/>
        <v>0.5</v>
      </c>
      <c r="H72" s="128">
        <f>SUM(C72:G72)</f>
        <v>1</v>
      </c>
    </row>
    <row r="73" spans="1:9" x14ac:dyDescent="0.3">
      <c r="B73" s="130"/>
      <c r="C73" s="15"/>
      <c r="D73" s="15"/>
      <c r="E73" s="15"/>
      <c r="F73" s="15"/>
      <c r="G73" s="74" t="s">
        <v>2323</v>
      </c>
      <c r="H73" s="129"/>
    </row>
    <row r="74" spans="1:9" x14ac:dyDescent="0.3">
      <c r="F74" s="74"/>
    </row>
    <row r="75" spans="1:9" ht="15.5" x14ac:dyDescent="0.35">
      <c r="A75" s="29" t="s">
        <v>3324</v>
      </c>
      <c r="C75" s="103" t="s">
        <v>3245</v>
      </c>
    </row>
    <row r="76" spans="1:9" ht="70" x14ac:dyDescent="0.3">
      <c r="A76" s="24"/>
      <c r="B76" s="35" t="s">
        <v>1355</v>
      </c>
      <c r="C76" s="35" t="s">
        <v>1356</v>
      </c>
      <c r="D76" s="35" t="s">
        <v>1352</v>
      </c>
      <c r="E76" s="35" t="s">
        <v>1353</v>
      </c>
      <c r="F76" s="35" t="s">
        <v>1354</v>
      </c>
      <c r="G76" s="35" t="s">
        <v>1357</v>
      </c>
      <c r="H76" s="35" t="s">
        <v>1905</v>
      </c>
      <c r="I76" s="35" t="s">
        <v>1220</v>
      </c>
    </row>
    <row r="77" spans="1:9" x14ac:dyDescent="0.3">
      <c r="A77" s="24" t="s">
        <v>1207</v>
      </c>
      <c r="B77" s="24">
        <f>COUNTIF('SATEMA_Cleaned Data'!AOP:AOP,"1")</f>
        <v>1</v>
      </c>
      <c r="C77" s="24">
        <f>COUNTIF('SATEMA_Cleaned Data'!AOQ:AOQ,"1")</f>
        <v>2</v>
      </c>
      <c r="D77" s="24">
        <f>COUNTIF('SATEMA_Cleaned Data'!AOR:AOR,"1")</f>
        <v>0</v>
      </c>
      <c r="E77" s="24">
        <f>COUNTIF('SATEMA_Cleaned Data'!AOS:AOS,"1")</f>
        <v>0</v>
      </c>
      <c r="F77" s="24">
        <f>COUNTIF('SATEMA_Cleaned Data'!AOT:AOT,"1")</f>
        <v>0</v>
      </c>
      <c r="G77" s="24">
        <f>COUNTIF('SATEMA_Cleaned Data'!AOU:AOU,"1")</f>
        <v>0</v>
      </c>
      <c r="H77" s="24">
        <f>COUNTIF('SATEMA_Cleaned Data'!AOV:AOV,"1")</f>
        <v>0</v>
      </c>
      <c r="I77" s="24">
        <f>COUNTIF('SATEMA_Cleaned Data'!AOW:AOW,"1")</f>
        <v>0</v>
      </c>
    </row>
    <row r="78" spans="1:9" ht="26" x14ac:dyDescent="0.3">
      <c r="A78" s="121" t="s">
        <v>3319</v>
      </c>
      <c r="B78" s="39">
        <f>B77/$E$7</f>
        <v>0.5</v>
      </c>
      <c r="C78" s="39">
        <f t="shared" ref="C78:I78" si="6">C77/$E$7</f>
        <v>1</v>
      </c>
      <c r="D78" s="39">
        <f t="shared" si="6"/>
        <v>0</v>
      </c>
      <c r="E78" s="39">
        <f t="shared" si="6"/>
        <v>0</v>
      </c>
      <c r="F78" s="39">
        <f t="shared" si="6"/>
        <v>0</v>
      </c>
      <c r="G78" s="39">
        <f t="shared" si="6"/>
        <v>0</v>
      </c>
      <c r="H78" s="39">
        <f t="shared" si="6"/>
        <v>0</v>
      </c>
      <c r="I78" s="39">
        <f t="shared" si="6"/>
        <v>0</v>
      </c>
    </row>
    <row r="79" spans="1:9" x14ac:dyDescent="0.3">
      <c r="A79" s="130"/>
    </row>
    <row r="80" spans="1:9" x14ac:dyDescent="0.3">
      <c r="B80" s="18" t="s">
        <v>1358</v>
      </c>
    </row>
    <row r="81" spans="1:9" ht="42" x14ac:dyDescent="0.3">
      <c r="B81" s="24"/>
      <c r="C81" s="40" t="s">
        <v>1359</v>
      </c>
      <c r="D81" s="40" t="s">
        <v>1360</v>
      </c>
      <c r="E81" s="40" t="s">
        <v>1361</v>
      </c>
      <c r="F81" s="40" t="s">
        <v>1362</v>
      </c>
      <c r="G81" s="40" t="s">
        <v>1905</v>
      </c>
      <c r="H81" s="40" t="s">
        <v>1220</v>
      </c>
      <c r="I81" s="127" t="s">
        <v>1206</v>
      </c>
    </row>
    <row r="82" spans="1:9" x14ac:dyDescent="0.3">
      <c r="B82" s="24" t="s">
        <v>1207</v>
      </c>
      <c r="C82" s="24">
        <f>COUNTIF('SATEMA_Cleaned Data'!APA:APA,"local")</f>
        <v>0</v>
      </c>
      <c r="D82" s="24">
        <f>COUNTIF('SATEMA_Cleaned Data'!APA:APA,"proche")</f>
        <v>1</v>
      </c>
      <c r="E82" s="24">
        <f>COUNTIF('SATEMA_Cleaned Data'!APA:APA,"bangui")</f>
        <v>1</v>
      </c>
      <c r="F82" s="24">
        <f>COUNTIF('SATEMA_Cleaned Data'!APA:APA,"exterieur")</f>
        <v>0</v>
      </c>
      <c r="G82" s="24">
        <f>COUNTIF('SATEMA_Cleaned Data'!APA:APA,"nsp")</f>
        <v>0</v>
      </c>
      <c r="H82" s="24">
        <f>COUNTIF('SATEMA_Cleaned Data'!APA:APA,"autre")</f>
        <v>0</v>
      </c>
      <c r="I82" s="25">
        <f>SUM(C82:H82)</f>
        <v>2</v>
      </c>
    </row>
    <row r="83" spans="1:9" ht="37.5" x14ac:dyDescent="0.3">
      <c r="B83" s="121" t="s">
        <v>3319</v>
      </c>
      <c r="C83" s="39">
        <f>C82/$E$7</f>
        <v>0</v>
      </c>
      <c r="D83" s="39">
        <f t="shared" ref="D83:H83" si="7">D82/$E$7</f>
        <v>0.5</v>
      </c>
      <c r="E83" s="39">
        <f t="shared" si="7"/>
        <v>0.5</v>
      </c>
      <c r="F83" s="39">
        <f t="shared" si="7"/>
        <v>0</v>
      </c>
      <c r="G83" s="39">
        <f t="shared" si="7"/>
        <v>0</v>
      </c>
      <c r="H83" s="39">
        <f t="shared" si="7"/>
        <v>0</v>
      </c>
      <c r="I83" s="128">
        <f>SUM(C83:H83)</f>
        <v>1</v>
      </c>
    </row>
    <row r="84" spans="1:9" x14ac:dyDescent="0.3">
      <c r="H84" s="129"/>
    </row>
    <row r="85" spans="1:9" x14ac:dyDescent="0.3">
      <c r="B85" s="18" t="s">
        <v>2000</v>
      </c>
    </row>
    <row r="86" spans="1:9" ht="28" x14ac:dyDescent="0.3">
      <c r="B86" s="24"/>
      <c r="C86" s="40" t="s">
        <v>2001</v>
      </c>
      <c r="D86" s="40" t="s">
        <v>2002</v>
      </c>
      <c r="E86" s="40" t="s">
        <v>2003</v>
      </c>
      <c r="F86" s="40" t="s">
        <v>1905</v>
      </c>
      <c r="G86" s="40" t="s">
        <v>1220</v>
      </c>
      <c r="H86" s="127" t="s">
        <v>1206</v>
      </c>
    </row>
    <row r="87" spans="1:9" x14ac:dyDescent="0.3">
      <c r="B87" s="24" t="s">
        <v>1207</v>
      </c>
      <c r="C87" s="24">
        <f>COUNTIF('SATEMA_Cleaned Data'!AOY:AOY,"hebdo")</f>
        <v>0</v>
      </c>
      <c r="D87" s="24">
        <f>COUNTIF('SATEMA_Cleaned Data'!AOY:AOY,"mensuel")</f>
        <v>1</v>
      </c>
      <c r="E87" s="24">
        <f>COUNTIF('SATEMA_Cleaned Data'!AOY:AOY,"trimestriel")</f>
        <v>0</v>
      </c>
      <c r="F87" s="24">
        <f>COUNTIF('SATEMA_Cleaned Data'!AOY:AOY,"nsp")</f>
        <v>0</v>
      </c>
      <c r="G87" s="24">
        <f>COUNTIF('SATEMA_Cleaned Data'!AOY:AOY,"autre")</f>
        <v>1</v>
      </c>
      <c r="H87" s="25">
        <f>SUM(C87:G87)</f>
        <v>2</v>
      </c>
    </row>
    <row r="88" spans="1:9" ht="37.5" x14ac:dyDescent="0.3">
      <c r="B88" s="121" t="s">
        <v>3319</v>
      </c>
      <c r="C88" s="39">
        <f>C87/$E$7</f>
        <v>0</v>
      </c>
      <c r="D88" s="39">
        <f t="shared" ref="D88:G88" si="8">D87/$E$7</f>
        <v>0.5</v>
      </c>
      <c r="E88" s="39">
        <f t="shared" si="8"/>
        <v>0</v>
      </c>
      <c r="F88" s="39">
        <f t="shared" si="8"/>
        <v>0</v>
      </c>
      <c r="G88" s="39">
        <f t="shared" si="8"/>
        <v>0.5</v>
      </c>
      <c r="H88" s="128">
        <f>SUM(C88:G88)</f>
        <v>1</v>
      </c>
    </row>
    <row r="89" spans="1:9" x14ac:dyDescent="0.3">
      <c r="F89" s="74"/>
      <c r="G89" s="74" t="s">
        <v>2323</v>
      </c>
    </row>
    <row r="90" spans="1:9" ht="15.5" x14ac:dyDescent="0.35">
      <c r="A90" s="9" t="s">
        <v>1363</v>
      </c>
    </row>
    <row r="91" spans="1:9" x14ac:dyDescent="0.3">
      <c r="A91" s="18" t="s">
        <v>2005</v>
      </c>
    </row>
    <row r="92" spans="1:9" x14ac:dyDescent="0.3">
      <c r="A92" s="24"/>
      <c r="B92" s="8" t="s">
        <v>1210</v>
      </c>
      <c r="C92" s="8" t="s">
        <v>1209</v>
      </c>
      <c r="D92" s="127" t="s">
        <v>1206</v>
      </c>
    </row>
    <row r="93" spans="1:9" x14ac:dyDescent="0.3">
      <c r="A93" s="24" t="s">
        <v>1207</v>
      </c>
      <c r="B93" s="24">
        <f>COUNTIF('SATEMA_Cleaned Data'!APF:APF,"oui")</f>
        <v>1</v>
      </c>
      <c r="C93" s="24">
        <f>COUNTIF('SATEMA_Cleaned Data'!APF:APF,"non")</f>
        <v>1</v>
      </c>
      <c r="D93" s="25">
        <f>SUM(B93:C93)</f>
        <v>2</v>
      </c>
    </row>
    <row r="94" spans="1:9" ht="26" x14ac:dyDescent="0.3">
      <c r="A94" s="121" t="s">
        <v>3319</v>
      </c>
      <c r="B94" s="39">
        <f>(B93/$E$7)</f>
        <v>0.5</v>
      </c>
      <c r="C94" s="39">
        <f>(C93/$E$7)</f>
        <v>0.5</v>
      </c>
      <c r="D94" s="128">
        <f>SUM(B94:C94)</f>
        <v>1</v>
      </c>
    </row>
    <row r="96" spans="1:9" x14ac:dyDescent="0.3">
      <c r="B96" s="18" t="s">
        <v>2006</v>
      </c>
    </row>
    <row r="97" spans="1:9" ht="28" x14ac:dyDescent="0.3">
      <c r="B97" s="24"/>
      <c r="C97" s="11" t="s">
        <v>1307</v>
      </c>
      <c r="D97" s="11" t="s">
        <v>1308</v>
      </c>
      <c r="E97" s="11" t="s">
        <v>1309</v>
      </c>
      <c r="F97" s="11" t="s">
        <v>1225</v>
      </c>
      <c r="G97" s="127" t="s">
        <v>1206</v>
      </c>
    </row>
    <row r="98" spans="1:9" x14ac:dyDescent="0.3">
      <c r="B98" s="24" t="s">
        <v>1207</v>
      </c>
      <c r="C98" s="24">
        <f>COUNTIF('SATEMA_Cleaned Data'!APG:APG,"peu_diminue")</f>
        <v>0</v>
      </c>
      <c r="D98" s="24">
        <f>COUNTIF('SATEMA_Cleaned Data'!APG:APG,"bcp_diminue")</f>
        <v>0</v>
      </c>
      <c r="E98" s="24">
        <f>COUNTIF('SATEMA_Cleaned Data'!APG:APG,"peu_augmente")</f>
        <v>0</v>
      </c>
      <c r="F98" s="24">
        <f>COUNTIF('SATEMA_Cleaned Data'!APG:APG,"bcp_augmente")</f>
        <v>1</v>
      </c>
      <c r="G98" s="25">
        <f>SUM(C98:F98)</f>
        <v>1</v>
      </c>
    </row>
    <row r="99" spans="1:9" ht="37.5" x14ac:dyDescent="0.3">
      <c r="B99" s="121" t="s">
        <v>3325</v>
      </c>
      <c r="C99" s="39">
        <f>C98/$B$93</f>
        <v>0</v>
      </c>
      <c r="D99" s="39">
        <f t="shared" ref="D99:F99" si="9">D98/$B$93</f>
        <v>0</v>
      </c>
      <c r="E99" s="39">
        <f t="shared" si="9"/>
        <v>0</v>
      </c>
      <c r="F99" s="39">
        <f t="shared" si="9"/>
        <v>1</v>
      </c>
      <c r="G99" s="128">
        <f>SUM(C99:F99)</f>
        <v>1</v>
      </c>
    </row>
    <row r="100" spans="1:9" x14ac:dyDescent="0.3">
      <c r="B100" s="14"/>
    </row>
    <row r="101" spans="1:9" x14ac:dyDescent="0.3">
      <c r="B101" s="18" t="s">
        <v>1310</v>
      </c>
      <c r="D101" s="103" t="s">
        <v>3245</v>
      </c>
    </row>
    <row r="102" spans="1:9" ht="70" x14ac:dyDescent="0.3">
      <c r="B102" s="24"/>
      <c r="C102" s="11" t="s">
        <v>1315</v>
      </c>
      <c r="D102" s="11" t="s">
        <v>1364</v>
      </c>
      <c r="E102" s="11" t="s">
        <v>1365</v>
      </c>
      <c r="F102" s="11" t="s">
        <v>1366</v>
      </c>
      <c r="G102" s="11" t="s">
        <v>1367</v>
      </c>
      <c r="H102" s="11" t="s">
        <v>1905</v>
      </c>
      <c r="I102" s="11" t="s">
        <v>1220</v>
      </c>
    </row>
    <row r="103" spans="1:9" x14ac:dyDescent="0.3">
      <c r="B103" s="24" t="s">
        <v>1207</v>
      </c>
      <c r="C103" s="24">
        <f>COUNTIF('SATEMA_Cleaned Data'!APR:APR,"1")</f>
        <v>0</v>
      </c>
      <c r="D103" s="24">
        <f>COUNTIF('SATEMA_Cleaned Data'!APS:APS,"1")</f>
        <v>0</v>
      </c>
      <c r="E103" s="24">
        <f>COUNTIF('SATEMA_Cleaned Data'!APT:APT,"1")</f>
        <v>0</v>
      </c>
      <c r="F103" s="24">
        <f>COUNTIF('SATEMA_Cleaned Data'!APU:APU,"1")</f>
        <v>0</v>
      </c>
      <c r="G103" s="24">
        <f>COUNTIF('SATEMA_Cleaned Data'!APV:APV,"1")</f>
        <v>0</v>
      </c>
      <c r="H103" s="24">
        <f>COUNTIF('SATEMA_Cleaned Data'!APW:APW,"1")</f>
        <v>0</v>
      </c>
      <c r="I103" s="24">
        <f>COUNTIF('SATEMA_Cleaned Data'!APX:APX,"1")</f>
        <v>0</v>
      </c>
    </row>
    <row r="104" spans="1:9" ht="42" customHeight="1" x14ac:dyDescent="0.3">
      <c r="B104" s="121" t="s">
        <v>3326</v>
      </c>
      <c r="C104" s="39" t="e">
        <f>D103/($C$98+$D$98)</f>
        <v>#DIV/0!</v>
      </c>
      <c r="D104" s="39" t="e">
        <f t="shared" ref="D104:I104" si="10">E103/($C$98+$D$98)</f>
        <v>#DIV/0!</v>
      </c>
      <c r="E104" s="39" t="e">
        <f t="shared" si="10"/>
        <v>#DIV/0!</v>
      </c>
      <c r="F104" s="39" t="e">
        <f t="shared" si="10"/>
        <v>#DIV/0!</v>
      </c>
      <c r="G104" s="39" t="e">
        <f t="shared" si="10"/>
        <v>#DIV/0!</v>
      </c>
      <c r="H104" s="39" t="e">
        <f t="shared" si="10"/>
        <v>#DIV/0!</v>
      </c>
      <c r="I104" s="39" t="e">
        <f t="shared" si="10"/>
        <v>#DIV/0!</v>
      </c>
    </row>
    <row r="106" spans="1:9" x14ac:dyDescent="0.3">
      <c r="B106" s="18" t="s">
        <v>1227</v>
      </c>
      <c r="D106" s="103" t="s">
        <v>3245</v>
      </c>
    </row>
    <row r="107" spans="1:9" ht="56" x14ac:dyDescent="0.3">
      <c r="B107" s="24"/>
      <c r="C107" s="11" t="s">
        <v>1311</v>
      </c>
      <c r="D107" s="11" t="s">
        <v>1312</v>
      </c>
      <c r="E107" s="11" t="s">
        <v>2324</v>
      </c>
      <c r="F107" s="11" t="s">
        <v>2325</v>
      </c>
      <c r="G107" s="11" t="s">
        <v>2326</v>
      </c>
      <c r="H107" s="11" t="s">
        <v>1905</v>
      </c>
      <c r="I107" s="11" t="s">
        <v>1205</v>
      </c>
    </row>
    <row r="108" spans="1:9" x14ac:dyDescent="0.3">
      <c r="B108" s="24" t="s">
        <v>1207</v>
      </c>
      <c r="C108" s="24">
        <f>COUNTIF('SATEMA_Cleaned Data'!API:API,"1")</f>
        <v>0</v>
      </c>
      <c r="D108" s="24">
        <f>COUNTIF('SATEMA_Cleaned Data'!APJ:APJ,"1")</f>
        <v>0</v>
      </c>
      <c r="E108" s="24">
        <f>COUNTIF('SATEMA_Cleaned Data'!APK:APK,"1")</f>
        <v>1</v>
      </c>
      <c r="F108" s="24">
        <f>COUNTIF('SATEMA_Cleaned Data'!APL:APL,"1")</f>
        <v>0</v>
      </c>
      <c r="G108" s="24">
        <f>COUNTIF('SATEMA_Cleaned Data'!APM:APM,"1")</f>
        <v>0</v>
      </c>
      <c r="H108" s="24">
        <f>COUNTIF('SATEMA_Cleaned Data'!APN:APN,"1")</f>
        <v>0</v>
      </c>
      <c r="I108" s="24">
        <f>COUNTIF('SATEMA_Cleaned Data'!APO:APO,"1")</f>
        <v>0</v>
      </c>
    </row>
    <row r="109" spans="1:9" ht="49" x14ac:dyDescent="0.3">
      <c r="B109" s="121" t="s">
        <v>3327</v>
      </c>
      <c r="C109" s="39">
        <f>C108/($E$98+$F$98)</f>
        <v>0</v>
      </c>
      <c r="D109" s="39">
        <f t="shared" ref="D109:I109" si="11">D108/($E$98+$F$98)</f>
        <v>0</v>
      </c>
      <c r="E109" s="39">
        <f t="shared" si="11"/>
        <v>1</v>
      </c>
      <c r="F109" s="39">
        <f t="shared" si="11"/>
        <v>0</v>
      </c>
      <c r="G109" s="39">
        <f t="shared" si="11"/>
        <v>0</v>
      </c>
      <c r="H109" s="39">
        <f t="shared" si="11"/>
        <v>0</v>
      </c>
      <c r="I109" s="39">
        <f t="shared" si="11"/>
        <v>0</v>
      </c>
    </row>
    <row r="110" spans="1:9" x14ac:dyDescent="0.3">
      <c r="B110" s="14"/>
      <c r="C110" s="15"/>
      <c r="D110" s="15"/>
      <c r="E110" s="15"/>
      <c r="F110" s="15"/>
      <c r="G110" s="15"/>
      <c r="H110" s="15"/>
      <c r="I110" s="15"/>
    </row>
    <row r="111" spans="1:9" ht="15.5" x14ac:dyDescent="0.35">
      <c r="A111" s="9" t="s">
        <v>1368</v>
      </c>
    </row>
    <row r="112" spans="1:9" x14ac:dyDescent="0.3">
      <c r="A112" s="18" t="s">
        <v>2007</v>
      </c>
      <c r="B112" s="103" t="s">
        <v>3245</v>
      </c>
    </row>
    <row r="113" spans="1:8" s="36" customFormat="1" ht="42" x14ac:dyDescent="0.35">
      <c r="A113" s="75"/>
      <c r="B113" s="35" t="s">
        <v>2008</v>
      </c>
      <c r="C113" s="35" t="s">
        <v>2009</v>
      </c>
      <c r="D113" s="35" t="s">
        <v>2010</v>
      </c>
      <c r="E113" s="35" t="s">
        <v>2011</v>
      </c>
      <c r="F113" s="35" t="s">
        <v>3259</v>
      </c>
      <c r="G113" s="35" t="s">
        <v>1205</v>
      </c>
    </row>
    <row r="114" spans="1:8" x14ac:dyDescent="0.3">
      <c r="A114" s="24" t="s">
        <v>1207</v>
      </c>
      <c r="B114" s="24">
        <f>COUNTIF('SATEMA_Cleaned Data'!AQA:AQA,"1")</f>
        <v>1</v>
      </c>
      <c r="C114" s="24">
        <f>COUNTIF('SATEMA_Cleaned Data'!AQB:AQB,"1")</f>
        <v>0</v>
      </c>
      <c r="D114" s="24">
        <f>COUNTIF('SATEMA_Cleaned Data'!AQC:AQC,"1")</f>
        <v>0</v>
      </c>
      <c r="E114" s="24">
        <f>COUNTIF('SATEMA_Cleaned Data'!AQD:AQD,"1")</f>
        <v>0</v>
      </c>
      <c r="F114" s="24">
        <f>COUNTIF('SATEMA_Cleaned Data'!AQE:AQE,"1")</f>
        <v>0</v>
      </c>
      <c r="G114" s="24">
        <f>COUNTIF('SATEMA_Cleaned Data'!AQF:AQF,"1")</f>
        <v>1</v>
      </c>
    </row>
    <row r="115" spans="1:8" ht="26" x14ac:dyDescent="0.3">
      <c r="A115" s="121" t="s">
        <v>3319</v>
      </c>
      <c r="B115" s="39">
        <f>(B114/$E$7)</f>
        <v>0.5</v>
      </c>
      <c r="C115" s="39">
        <f t="shared" ref="C115:G115" si="12">(C114/$E$7)</f>
        <v>0</v>
      </c>
      <c r="D115" s="39">
        <f t="shared" si="12"/>
        <v>0</v>
      </c>
      <c r="E115" s="39">
        <f t="shared" si="12"/>
        <v>0</v>
      </c>
      <c r="F115" s="39">
        <f t="shared" si="12"/>
        <v>0</v>
      </c>
      <c r="G115" s="39">
        <f t="shared" si="12"/>
        <v>0.5</v>
      </c>
    </row>
    <row r="116" spans="1:8" x14ac:dyDescent="0.3">
      <c r="C116" s="74"/>
      <c r="G116" s="74" t="s">
        <v>2328</v>
      </c>
    </row>
    <row r="117" spans="1:8" x14ac:dyDescent="0.3">
      <c r="B117" s="74"/>
    </row>
    <row r="118" spans="1:8" x14ac:dyDescent="0.3">
      <c r="B118" s="18" t="s">
        <v>2012</v>
      </c>
    </row>
    <row r="119" spans="1:8" x14ac:dyDescent="0.3">
      <c r="B119" s="21" t="e">
        <f>AVERAGE('SATEMA_Cleaned Data'!AQN:AQN)</f>
        <v>#DIV/0!</v>
      </c>
      <c r="C119" s="21" t="s">
        <v>2015</v>
      </c>
      <c r="D119" s="74" t="s">
        <v>2327</v>
      </c>
    </row>
    <row r="121" spans="1:8" x14ac:dyDescent="0.3">
      <c r="B121" s="18" t="s">
        <v>2016</v>
      </c>
    </row>
    <row r="122" spans="1:8" x14ac:dyDescent="0.3">
      <c r="B122" s="19">
        <f>AVERAGE('SATEMA_Cleaned Data'!ARD:ARD)</f>
        <v>20000</v>
      </c>
      <c r="C122" s="21" t="s">
        <v>3341</v>
      </c>
      <c r="D122" s="74"/>
    </row>
    <row r="124" spans="1:8" x14ac:dyDescent="0.3">
      <c r="A124" s="14"/>
      <c r="B124" s="15"/>
      <c r="C124" s="15"/>
    </row>
    <row r="125" spans="1:8" ht="15.5" x14ac:dyDescent="0.35">
      <c r="A125" s="9" t="s">
        <v>1293</v>
      </c>
    </row>
    <row r="126" spans="1:8" x14ac:dyDescent="0.3">
      <c r="A126" s="18" t="s">
        <v>1370</v>
      </c>
      <c r="C126" s="103" t="s">
        <v>3245</v>
      </c>
    </row>
    <row r="127" spans="1:8" s="36" customFormat="1" ht="58.5" customHeight="1" x14ac:dyDescent="0.3">
      <c r="A127" s="24"/>
      <c r="B127" s="35" t="s">
        <v>1369</v>
      </c>
      <c r="C127" s="35" t="s">
        <v>1374</v>
      </c>
      <c r="D127" s="35" t="s">
        <v>1371</v>
      </c>
      <c r="E127" s="35" t="s">
        <v>1372</v>
      </c>
      <c r="F127" s="35" t="s">
        <v>1373</v>
      </c>
      <c r="G127" s="35" t="s">
        <v>3259</v>
      </c>
      <c r="H127" s="35" t="s">
        <v>1220</v>
      </c>
    </row>
    <row r="128" spans="1:8" x14ac:dyDescent="0.3">
      <c r="A128" s="24" t="s">
        <v>1207</v>
      </c>
      <c r="B128" s="24">
        <f>COUNTIF('SATEMA_Cleaned Data'!ARV:ARV,"1")</f>
        <v>1</v>
      </c>
      <c r="C128" s="24">
        <f>COUNTIF('SATEMA_Cleaned Data'!ARW:ARW,"1")</f>
        <v>0</v>
      </c>
      <c r="D128" s="24">
        <f>COUNTIF('SATEMA_Cleaned Data'!ARX:ARX,"1")</f>
        <v>0</v>
      </c>
      <c r="E128" s="24">
        <f>COUNTIF('SATEMA_Cleaned Data'!ARY:ARY,"1")</f>
        <v>0</v>
      </c>
      <c r="F128" s="24">
        <f>COUNTIF('SATEMA_Cleaned Data'!ARZ:ARZ,"1")</f>
        <v>0</v>
      </c>
      <c r="G128" s="24">
        <f>COUNTIF('SATEMA_Cleaned Data'!ASA:ASA,"1")</f>
        <v>0</v>
      </c>
      <c r="H128" s="24">
        <f>COUNTIF('SATEMA_Cleaned Data'!ASB:ASB,"1")</f>
        <v>1</v>
      </c>
    </row>
    <row r="129" spans="1:16" ht="26" x14ac:dyDescent="0.3">
      <c r="A129" s="121" t="s">
        <v>3316</v>
      </c>
      <c r="B129" s="39">
        <f>B128/$B$3</f>
        <v>0.5</v>
      </c>
      <c r="C129" s="39">
        <f t="shared" ref="C129:H129" si="13">C128/$B$3</f>
        <v>0</v>
      </c>
      <c r="D129" s="39">
        <f t="shared" si="13"/>
        <v>0</v>
      </c>
      <c r="E129" s="39">
        <f t="shared" si="13"/>
        <v>0</v>
      </c>
      <c r="F129" s="39">
        <f t="shared" si="13"/>
        <v>0</v>
      </c>
      <c r="G129" s="39">
        <f t="shared" si="13"/>
        <v>0</v>
      </c>
      <c r="H129" s="39">
        <f t="shared" si="13"/>
        <v>0.5</v>
      </c>
    </row>
    <row r="130" spans="1:16" x14ac:dyDescent="0.3">
      <c r="A130" s="14"/>
      <c r="H130" s="74" t="s">
        <v>2330</v>
      </c>
    </row>
    <row r="131" spans="1:16" x14ac:dyDescent="0.3">
      <c r="A131" s="18" t="s">
        <v>1375</v>
      </c>
    </row>
    <row r="132" spans="1:16" x14ac:dyDescent="0.3">
      <c r="A132" s="24"/>
      <c r="B132" s="8" t="s">
        <v>1210</v>
      </c>
      <c r="C132" s="8" t="s">
        <v>1209</v>
      </c>
      <c r="D132" s="127" t="s">
        <v>1206</v>
      </c>
    </row>
    <row r="133" spans="1:16" x14ac:dyDescent="0.3">
      <c r="A133" s="24" t="s">
        <v>1207</v>
      </c>
      <c r="B133" s="24">
        <f>COUNTIF('SATEMA_Cleaned Data'!ASD:ASD,"oui")</f>
        <v>1</v>
      </c>
      <c r="C133" s="24">
        <f>COUNTIF('SATEMA_Cleaned Data'!ASD:ASD,"non")</f>
        <v>1</v>
      </c>
      <c r="D133" s="25">
        <f>SUM(B133:C133)</f>
        <v>2</v>
      </c>
    </row>
    <row r="134" spans="1:16" ht="26" x14ac:dyDescent="0.3">
      <c r="A134" s="121" t="s">
        <v>3319</v>
      </c>
      <c r="B134" s="39">
        <f>(B133/$E$7)</f>
        <v>0.5</v>
      </c>
      <c r="C134" s="39">
        <f>(C133/$E$7)</f>
        <v>0.5</v>
      </c>
      <c r="D134" s="128">
        <f>SUM(B134:C134)</f>
        <v>1</v>
      </c>
    </row>
    <row r="136" spans="1:16" x14ac:dyDescent="0.3">
      <c r="A136" s="18" t="s">
        <v>1331</v>
      </c>
      <c r="C136" s="103" t="s">
        <v>3245</v>
      </c>
    </row>
    <row r="137" spans="1:16" x14ac:dyDescent="0.3">
      <c r="A137" s="24"/>
      <c r="B137" s="8" t="s">
        <v>1250</v>
      </c>
      <c r="C137" s="8" t="s">
        <v>1251</v>
      </c>
      <c r="D137" s="8" t="s">
        <v>1905</v>
      </c>
      <c r="E137" s="8" t="s">
        <v>1205</v>
      </c>
      <c r="F137" s="8" t="s">
        <v>1252</v>
      </c>
    </row>
    <row r="138" spans="1:16" x14ac:dyDescent="0.3">
      <c r="A138" s="24" t="s">
        <v>1207</v>
      </c>
      <c r="B138" s="3">
        <f>COUNTIF('SATEMA_Cleaned Data'!ASO:ASO,"1")</f>
        <v>0</v>
      </c>
      <c r="C138" s="3">
        <f>COUNTIF('SATEMA_Cleaned Data'!ASP:ASP,"1")</f>
        <v>0</v>
      </c>
      <c r="D138" s="3">
        <f>COUNTIF('SATEMA_Cleaned Data'!ASQ:ASQ,"1")</f>
        <v>0</v>
      </c>
      <c r="E138" s="3">
        <f>COUNTIF('SATEMA_Cleaned Data'!ASR:ASR,"1")</f>
        <v>0</v>
      </c>
      <c r="F138" s="3">
        <f>COUNTIF('SATEMA_Cleaned Data'!ASS:ASS,"1")</f>
        <v>2</v>
      </c>
    </row>
    <row r="139" spans="1:16" ht="26" x14ac:dyDescent="0.3">
      <c r="A139" s="121" t="s">
        <v>3316</v>
      </c>
      <c r="B139" s="39">
        <f>B138/$B$3</f>
        <v>0</v>
      </c>
      <c r="C139" s="39">
        <f t="shared" ref="C139:F139" si="14">C138/$B$3</f>
        <v>0</v>
      </c>
      <c r="D139" s="39">
        <f t="shared" si="14"/>
        <v>0</v>
      </c>
      <c r="E139" s="39">
        <f t="shared" si="14"/>
        <v>0</v>
      </c>
      <c r="F139" s="39">
        <f t="shared" si="14"/>
        <v>1</v>
      </c>
    </row>
    <row r="140" spans="1:16" x14ac:dyDescent="0.3">
      <c r="A140" s="14"/>
    </row>
    <row r="141" spans="1:16" ht="15.5" x14ac:dyDescent="0.35">
      <c r="A141" s="29" t="s">
        <v>1299</v>
      </c>
      <c r="C141" s="103" t="s">
        <v>3245</v>
      </c>
    </row>
    <row r="142" spans="1:16" s="36" customFormat="1" ht="70" x14ac:dyDescent="0.35">
      <c r="A142" s="35" t="s">
        <v>1475</v>
      </c>
      <c r="B142" s="35" t="s">
        <v>2019</v>
      </c>
      <c r="C142" s="35" t="s">
        <v>1376</v>
      </c>
      <c r="D142" s="35" t="s">
        <v>2023</v>
      </c>
      <c r="E142" s="35" t="s">
        <v>2024</v>
      </c>
      <c r="F142" s="35" t="s">
        <v>2020</v>
      </c>
      <c r="G142" s="35" t="s">
        <v>1377</v>
      </c>
      <c r="H142" s="35" t="s">
        <v>1378</v>
      </c>
      <c r="I142" s="35" t="s">
        <v>1379</v>
      </c>
      <c r="J142" s="35" t="s">
        <v>2021</v>
      </c>
      <c r="K142" s="35" t="s">
        <v>2022</v>
      </c>
      <c r="L142" s="35" t="s">
        <v>1380</v>
      </c>
      <c r="M142" s="35" t="s">
        <v>2025</v>
      </c>
      <c r="N142" s="35" t="s">
        <v>1381</v>
      </c>
      <c r="O142" s="35" t="s">
        <v>1905</v>
      </c>
      <c r="P142" s="35" t="s">
        <v>1205</v>
      </c>
    </row>
    <row r="143" spans="1:16" x14ac:dyDescent="0.3">
      <c r="A143" s="3">
        <f>COUNTIF('SATEMA_Cleaned Data'!ATK:ATK,"1")</f>
        <v>2</v>
      </c>
      <c r="B143" s="3">
        <f>COUNTIF('SATEMA_Cleaned Data'!ATL:ATL,"1")</f>
        <v>2</v>
      </c>
      <c r="C143" s="3">
        <f>COUNTIF('SATEMA_Cleaned Data'!ATM:ATM,"1")</f>
        <v>2</v>
      </c>
      <c r="D143" s="3">
        <f>COUNTIF('SATEMA_Cleaned Data'!ATN:ATN,"1")</f>
        <v>1</v>
      </c>
      <c r="E143" s="3">
        <f>COUNTIF('SATEMA_Cleaned Data'!ATO:ATO,"1")</f>
        <v>1</v>
      </c>
      <c r="F143" s="3">
        <f>COUNTIF('SATEMA_Cleaned Data'!ATX:ATX,"1")</f>
        <v>1</v>
      </c>
      <c r="G143" s="3">
        <f>COUNTIF('SATEMA_Cleaned Data'!ATP:ATP,"1")</f>
        <v>0</v>
      </c>
      <c r="H143" s="3">
        <f>COUNTIF('SATEMA_Cleaned Data'!ATQ:ATQ,"1")</f>
        <v>0</v>
      </c>
      <c r="I143" s="3">
        <f>COUNTIF('SATEMA_Cleaned Data'!ATR:ATR,"1")</f>
        <v>0</v>
      </c>
      <c r="J143" s="3">
        <f>COUNTIF('SATEMA_Cleaned Data'!ATS:ATS,"1")</f>
        <v>1</v>
      </c>
      <c r="K143" s="3">
        <f>COUNTIF('SATEMA_Cleaned Data'!ATU:ATU,"1")</f>
        <v>1</v>
      </c>
      <c r="L143" s="3">
        <f>COUNTIF('SATEMA_Cleaned Data'!ATV:ATV,"1")</f>
        <v>2</v>
      </c>
      <c r="M143" s="3">
        <f>COUNTIF('SATEMA_Cleaned Data'!ATW:ATW,"1")</f>
        <v>0</v>
      </c>
      <c r="N143" s="3">
        <f>COUNTIF('SATEMA_Cleaned Data'!ATY:ATY,"1")</f>
        <v>0</v>
      </c>
      <c r="O143" s="3">
        <f>COUNTIF('SATEMA_Cleaned Data'!ATZ:ATZ,"1")</f>
        <v>0</v>
      </c>
      <c r="P143" s="3">
        <f>COUNTIF('SATEMA_Cleaned Data'!AUA:AUA,"1")</f>
        <v>0</v>
      </c>
    </row>
    <row r="144" spans="1:16" x14ac:dyDescent="0.3">
      <c r="A144" s="14"/>
      <c r="B144" s="14"/>
      <c r="C144" s="14"/>
      <c r="D144" s="14"/>
      <c r="E144" s="14"/>
      <c r="F144" s="14"/>
      <c r="G144" s="14"/>
      <c r="H144" s="14"/>
      <c r="I144" s="14"/>
      <c r="J144" s="14"/>
      <c r="K144" s="14"/>
      <c r="L144" s="14"/>
      <c r="M144" s="14"/>
      <c r="N144" s="14"/>
      <c r="O144" s="14"/>
      <c r="P144" s="76"/>
    </row>
    <row r="145" spans="1:13" ht="15.5" x14ac:dyDescent="0.35">
      <c r="A145" s="29" t="s">
        <v>1300</v>
      </c>
      <c r="C145" s="103" t="s">
        <v>3245</v>
      </c>
    </row>
    <row r="146" spans="1:13" ht="28" x14ac:dyDescent="0.3">
      <c r="A146" s="8" t="s">
        <v>1236</v>
      </c>
      <c r="B146" s="8" t="s">
        <v>1256</v>
      </c>
      <c r="C146" s="8" t="s">
        <v>1257</v>
      </c>
      <c r="D146" s="8" t="s">
        <v>1239</v>
      </c>
      <c r="E146" s="8" t="s">
        <v>1240</v>
      </c>
      <c r="F146" s="8" t="s">
        <v>1258</v>
      </c>
      <c r="G146" s="8" t="s">
        <v>1259</v>
      </c>
      <c r="H146" s="8" t="s">
        <v>1260</v>
      </c>
      <c r="I146" s="8" t="s">
        <v>1261</v>
      </c>
      <c r="J146" s="8" t="s">
        <v>1252</v>
      </c>
      <c r="K146" s="8" t="s">
        <v>3259</v>
      </c>
      <c r="L146" s="8" t="s">
        <v>1220</v>
      </c>
    </row>
    <row r="147" spans="1:13" x14ac:dyDescent="0.3">
      <c r="A147" s="24">
        <f>COUNTIF('SATEMA_Cleaned Data'!ASV:ASV,"1")</f>
        <v>1</v>
      </c>
      <c r="B147" s="24">
        <f>COUNTIF('SATEMA_Cleaned Data'!ASW:ASW,"1")</f>
        <v>0</v>
      </c>
      <c r="C147" s="24">
        <f>COUNTIF('SATEMA_Cleaned Data'!ASX:ASX,"1")</f>
        <v>0</v>
      </c>
      <c r="D147" s="24">
        <f>COUNTIF('SATEMA_Cleaned Data'!ASY:ASY,"1")</f>
        <v>0</v>
      </c>
      <c r="E147" s="24">
        <f>COUNTIF('SATEMA_Cleaned Data'!ASZ:ASZ,"1")</f>
        <v>0</v>
      </c>
      <c r="F147" s="24">
        <f>COUNTIF('SATEMA_Cleaned Data'!ATA:ATA,"1")</f>
        <v>0</v>
      </c>
      <c r="G147" s="24">
        <f>COUNTIF('SATEMA_Cleaned Data'!ATB:ATB,"1")</f>
        <v>0</v>
      </c>
      <c r="H147" s="24">
        <f>COUNTIF('SATEMA_Cleaned Data'!ATC:ATC,"1")</f>
        <v>1</v>
      </c>
      <c r="I147" s="24">
        <f>COUNTIF('SATEMA_Cleaned Data'!ATD:ATD,"1")</f>
        <v>0</v>
      </c>
      <c r="J147" s="24">
        <f>COUNTIF('SATEMA_Cleaned Data'!ATE:ATE,"1")</f>
        <v>0</v>
      </c>
      <c r="K147" s="24">
        <f>COUNTIF('SATEMA_Cleaned Data'!ATF:ATF,"1")</f>
        <v>0</v>
      </c>
      <c r="L147" s="24">
        <f>COUNTIF('SATEMA_Cleaned Data'!ATG:ATG,"1")</f>
        <v>0</v>
      </c>
    </row>
    <row r="149" spans="1:13" ht="15.5" x14ac:dyDescent="0.35">
      <c r="A149" s="29" t="s">
        <v>1334</v>
      </c>
    </row>
    <row r="150" spans="1:13" x14ac:dyDescent="0.3">
      <c r="A150" s="3"/>
      <c r="B150" s="8" t="s">
        <v>1210</v>
      </c>
      <c r="C150" s="8" t="s">
        <v>1209</v>
      </c>
      <c r="D150" s="127" t="s">
        <v>1206</v>
      </c>
    </row>
    <row r="151" spans="1:13" x14ac:dyDescent="0.3">
      <c r="A151" s="3" t="s">
        <v>1207</v>
      </c>
      <c r="B151" s="24">
        <f>COUNTIF('SATEMA_Cleaned Data'!AUC:AUC,"OUI")</f>
        <v>0</v>
      </c>
      <c r="C151" s="24">
        <f>COUNTIF('SATEMA_Cleaned Data'!AUC:AUC,"non")</f>
        <v>2</v>
      </c>
      <c r="D151" s="25">
        <f>SUM(B151:C151)</f>
        <v>2</v>
      </c>
    </row>
    <row r="152" spans="1:13" ht="26" x14ac:dyDescent="0.3">
      <c r="A152" s="121" t="s">
        <v>3316</v>
      </c>
      <c r="B152" s="7">
        <f>(B151/$B$3)</f>
        <v>0</v>
      </c>
      <c r="C152" s="7">
        <f>(C151/$B$3)</f>
        <v>1</v>
      </c>
      <c r="D152" s="128">
        <f>SUM(B152:C152)</f>
        <v>1</v>
      </c>
    </row>
    <row r="153" spans="1:13" x14ac:dyDescent="0.3">
      <c r="A153" s="130"/>
      <c r="B153" s="15"/>
      <c r="C153" s="15"/>
      <c r="D153" s="129"/>
    </row>
    <row r="154" spans="1:13" ht="15.5" x14ac:dyDescent="0.35">
      <c r="A154" s="9" t="s">
        <v>1301</v>
      </c>
      <c r="C154" s="103" t="s">
        <v>3245</v>
      </c>
    </row>
    <row r="155" spans="1:13" ht="56" x14ac:dyDescent="0.35">
      <c r="A155" s="8" t="s">
        <v>2029</v>
      </c>
      <c r="B155" s="8" t="s">
        <v>2028</v>
      </c>
      <c r="C155" s="8" t="s">
        <v>2030</v>
      </c>
      <c r="D155" s="8" t="s">
        <v>1382</v>
      </c>
      <c r="E155" s="8" t="s">
        <v>1383</v>
      </c>
      <c r="F155" s="8" t="s">
        <v>1384</v>
      </c>
      <c r="G155" s="8" t="s">
        <v>1385</v>
      </c>
      <c r="H155" s="8" t="s">
        <v>1905</v>
      </c>
      <c r="I155" s="8" t="s">
        <v>1205</v>
      </c>
      <c r="K155" s="23"/>
      <c r="L155" s="23"/>
      <c r="M155" s="23"/>
    </row>
    <row r="156" spans="1:13" ht="14.5" x14ac:dyDescent="0.35">
      <c r="A156" s="24">
        <f>COUNTIF('SATEMA_Cleaned Data'!AVH:AVH,"1")</f>
        <v>0</v>
      </c>
      <c r="B156" s="24">
        <f>COUNTIF('SATEMA_Cleaned Data'!AVI:AVI,"1")</f>
        <v>2</v>
      </c>
      <c r="C156" s="24">
        <f>COUNTIF('SATEMA_Cleaned Data'!AVJ:AVJ,"1")</f>
        <v>2</v>
      </c>
      <c r="D156" s="24">
        <f>COUNTIF('SATEMA_Cleaned Data'!AVK:AVK,"1")</f>
        <v>2</v>
      </c>
      <c r="E156" s="24">
        <f>COUNTIF('SATEMA_Cleaned Data'!AVL:AVL,"1")</f>
        <v>1</v>
      </c>
      <c r="F156" s="24">
        <f>COUNTIF('SATEMA_Cleaned Data'!AVM:AVM,"1")</f>
        <v>1</v>
      </c>
      <c r="G156" s="24">
        <f>COUNTIF('SATEMA_Cleaned Data'!AVN:AVN,"1")</f>
        <v>1</v>
      </c>
      <c r="H156" s="24">
        <f>COUNTIF('SATEMA_Cleaned Data'!AVO:AVO,"1")</f>
        <v>0</v>
      </c>
      <c r="I156" s="24">
        <f>COUNTIF('SATEMA_Cleaned Data'!AVP:AVP,"1")</f>
        <v>0</v>
      </c>
      <c r="J156"/>
      <c r="K156" s="23"/>
      <c r="L156" s="23"/>
      <c r="M156" s="23"/>
    </row>
    <row r="157" spans="1:13" x14ac:dyDescent="0.3">
      <c r="I157" s="74"/>
    </row>
  </sheetData>
  <conditionalFormatting sqref="C35:F35">
    <cfRule type="colorScale" priority="34">
      <colorScale>
        <cfvo type="min"/>
        <cfvo type="max"/>
        <color theme="6" tint="0.79998168889431442"/>
        <color theme="5" tint="0.39997558519241921"/>
      </colorScale>
    </cfRule>
  </conditionalFormatting>
  <conditionalFormatting sqref="C40:M40">
    <cfRule type="colorScale" priority="33">
      <colorScale>
        <cfvo type="min"/>
        <cfvo type="max"/>
        <color theme="6" tint="0.79998168889431442"/>
        <color theme="5" tint="0.39997558519241921"/>
      </colorScale>
    </cfRule>
  </conditionalFormatting>
  <conditionalFormatting sqref="B61:J61">
    <cfRule type="colorScale" priority="32">
      <colorScale>
        <cfvo type="min"/>
        <cfvo type="max"/>
        <color theme="6" tint="0.79998168889431442"/>
        <color theme="5" tint="0.39997558519241921"/>
      </colorScale>
    </cfRule>
  </conditionalFormatting>
  <conditionalFormatting sqref="B68:E68 C66:H66">
    <cfRule type="colorScale" priority="31">
      <colorScale>
        <cfvo type="min"/>
        <cfvo type="max"/>
        <color theme="6" tint="0.79998168889431442"/>
        <color theme="5" tint="0.39997558519241921"/>
      </colorScale>
    </cfRule>
  </conditionalFormatting>
  <conditionalFormatting sqref="B68:G68 C66:H66">
    <cfRule type="colorScale" priority="30">
      <colorScale>
        <cfvo type="min"/>
        <cfvo type="max"/>
        <color theme="6" tint="0.79998168889431442"/>
        <color theme="5" tint="0.39997558519241921"/>
      </colorScale>
    </cfRule>
  </conditionalFormatting>
  <conditionalFormatting sqref="B77:I77">
    <cfRule type="colorScale" priority="29">
      <colorScale>
        <cfvo type="min"/>
        <cfvo type="max"/>
        <color theme="6" tint="0.79998168889431442"/>
        <color theme="5" tint="0.39997558519241921"/>
      </colorScale>
    </cfRule>
  </conditionalFormatting>
  <conditionalFormatting sqref="C82:F82">
    <cfRule type="colorScale" priority="28">
      <colorScale>
        <cfvo type="min"/>
        <cfvo type="max"/>
        <color theme="6" tint="0.79998168889431442"/>
        <color theme="5" tint="0.39997558519241921"/>
      </colorScale>
    </cfRule>
  </conditionalFormatting>
  <conditionalFormatting sqref="C82:H82">
    <cfRule type="colorScale" priority="27">
      <colorScale>
        <cfvo type="min"/>
        <cfvo type="max"/>
        <color theme="6" tint="0.79998168889431442"/>
        <color theme="5" tint="0.39997558519241921"/>
      </colorScale>
    </cfRule>
  </conditionalFormatting>
  <conditionalFormatting sqref="C98:F98">
    <cfRule type="colorScale" priority="26">
      <colorScale>
        <cfvo type="min"/>
        <cfvo type="max"/>
        <color theme="6" tint="0.79998168889431442"/>
        <color theme="5" tint="0.39997558519241921"/>
      </colorScale>
    </cfRule>
  </conditionalFormatting>
  <conditionalFormatting sqref="C103:I103">
    <cfRule type="colorScale" priority="25">
      <colorScale>
        <cfvo type="min"/>
        <cfvo type="max"/>
        <color theme="6" tint="0.79998168889431442"/>
        <color theme="5" tint="0.39997558519241921"/>
      </colorScale>
    </cfRule>
  </conditionalFormatting>
  <conditionalFormatting sqref="B55:L55">
    <cfRule type="colorScale" priority="24">
      <colorScale>
        <cfvo type="min"/>
        <cfvo type="max"/>
        <color theme="6" tint="0.79998168889431442"/>
        <color theme="5" tint="0.39997558519241921"/>
      </colorScale>
    </cfRule>
  </conditionalFormatting>
  <conditionalFormatting sqref="B128:H128">
    <cfRule type="colorScale" priority="23">
      <colorScale>
        <cfvo type="min"/>
        <cfvo type="max"/>
        <color theme="6" tint="0.79998168889431442"/>
        <color theme="5" tint="0.39997558519241921"/>
      </colorScale>
    </cfRule>
  </conditionalFormatting>
  <conditionalFormatting sqref="B138:F138">
    <cfRule type="colorScale" priority="22">
      <colorScale>
        <cfvo type="min"/>
        <cfvo type="max"/>
        <color theme="6" tint="0.79998168889431442"/>
        <color theme="5" tint="0.39997558519241921"/>
      </colorScale>
    </cfRule>
  </conditionalFormatting>
  <conditionalFormatting sqref="A147:L147">
    <cfRule type="colorScale" priority="21">
      <colorScale>
        <cfvo type="min"/>
        <cfvo type="max"/>
        <color theme="6" tint="0.79998168889431442"/>
        <color theme="5" tint="0.39997558519241921"/>
      </colorScale>
    </cfRule>
  </conditionalFormatting>
  <conditionalFormatting sqref="A143:P143 A144:O144">
    <cfRule type="colorScale" priority="20">
      <colorScale>
        <cfvo type="min"/>
        <cfvo type="max"/>
        <color theme="6" tint="0.79998168889431442"/>
        <color theme="5" tint="0.39997558519241921"/>
      </colorScale>
    </cfRule>
  </conditionalFormatting>
  <conditionalFormatting sqref="A156:I156">
    <cfRule type="colorScale" priority="19">
      <colorScale>
        <cfvo type="min"/>
        <cfvo type="max"/>
        <color theme="6" tint="0.79998168889431442"/>
        <color theme="5" tint="0.39997558519241921"/>
      </colorScale>
    </cfRule>
  </conditionalFormatting>
  <conditionalFormatting sqref="B7:D7">
    <cfRule type="colorScale" priority="18">
      <colorScale>
        <cfvo type="min"/>
        <cfvo type="max"/>
        <color theme="6" tint="0.79998168889431442"/>
        <color theme="5" tint="0.39997558519241921"/>
      </colorScale>
    </cfRule>
  </conditionalFormatting>
  <conditionalFormatting sqref="B12:C12">
    <cfRule type="colorScale" priority="17">
      <colorScale>
        <cfvo type="min"/>
        <cfvo type="max"/>
        <color theme="6" tint="0.79998168889431442"/>
        <color theme="5" tint="0.39997558519241921"/>
      </colorScale>
    </cfRule>
  </conditionalFormatting>
  <conditionalFormatting sqref="C17:D17">
    <cfRule type="colorScale" priority="16">
      <colorScale>
        <cfvo type="min"/>
        <cfvo type="max"/>
        <color theme="6" tint="0.79998168889431442"/>
        <color theme="5" tint="0.39997558519241921"/>
      </colorScale>
    </cfRule>
  </conditionalFormatting>
  <conditionalFormatting sqref="B22:I22">
    <cfRule type="colorScale" priority="15">
      <colorScale>
        <cfvo type="min"/>
        <cfvo type="max"/>
        <color theme="6" tint="0.79998168889431442"/>
        <color theme="5" tint="0.39997558519241921"/>
      </colorScale>
    </cfRule>
  </conditionalFormatting>
  <conditionalFormatting sqref="B30:C30">
    <cfRule type="colorScale" priority="14">
      <colorScale>
        <cfvo type="min"/>
        <cfvo type="max"/>
        <color theme="6" tint="0.79998168889431442"/>
        <color theme="5" tint="0.39997558519241921"/>
      </colorScale>
    </cfRule>
  </conditionalFormatting>
  <conditionalFormatting sqref="B50:C50">
    <cfRule type="colorScale" priority="13">
      <colorScale>
        <cfvo type="min"/>
        <cfvo type="max"/>
        <color theme="6" tint="0.79998168889431442"/>
        <color theme="5" tint="0.39997558519241921"/>
      </colorScale>
    </cfRule>
  </conditionalFormatting>
  <conditionalFormatting sqref="C71:F71">
    <cfRule type="colorScale" priority="12">
      <colorScale>
        <cfvo type="min"/>
        <cfvo type="max"/>
        <color theme="6" tint="0.79998168889431442"/>
        <color theme="5" tint="0.39997558519241921"/>
      </colorScale>
    </cfRule>
  </conditionalFormatting>
  <conditionalFormatting sqref="C71:G71">
    <cfRule type="colorScale" priority="11">
      <colorScale>
        <cfvo type="min"/>
        <cfvo type="max"/>
        <color theme="6" tint="0.79998168889431442"/>
        <color theme="5" tint="0.39997558519241921"/>
      </colorScale>
    </cfRule>
  </conditionalFormatting>
  <conditionalFormatting sqref="C87:F87">
    <cfRule type="colorScale" priority="10">
      <colorScale>
        <cfvo type="min"/>
        <cfvo type="max"/>
        <color theme="6" tint="0.79998168889431442"/>
        <color theme="5" tint="0.39997558519241921"/>
      </colorScale>
    </cfRule>
  </conditionalFormatting>
  <conditionalFormatting sqref="C87:G87">
    <cfRule type="colorScale" priority="9">
      <colorScale>
        <cfvo type="min"/>
        <cfvo type="max"/>
        <color theme="6" tint="0.79998168889431442"/>
        <color theme="5" tint="0.39997558519241921"/>
      </colorScale>
    </cfRule>
  </conditionalFormatting>
  <conditionalFormatting sqref="B93:C93">
    <cfRule type="colorScale" priority="8">
      <colorScale>
        <cfvo type="min"/>
        <cfvo type="max"/>
        <color theme="6" tint="0.79998168889431442"/>
        <color theme="5" tint="0.39997558519241921"/>
      </colorScale>
    </cfRule>
  </conditionalFormatting>
  <conditionalFormatting sqref="B93:C93">
    <cfRule type="colorScale" priority="7">
      <colorScale>
        <cfvo type="min"/>
        <cfvo type="max"/>
        <color theme="6" tint="0.79998168889431442"/>
        <color theme="5" tint="0.39997558519241921"/>
      </colorScale>
    </cfRule>
  </conditionalFormatting>
  <conditionalFormatting sqref="B114:G114">
    <cfRule type="colorScale" priority="6">
      <colorScale>
        <cfvo type="min"/>
        <cfvo type="max"/>
        <color theme="6" tint="0.79998168889431442"/>
        <color theme="5" tint="0.39997558519241921"/>
      </colorScale>
    </cfRule>
  </conditionalFormatting>
  <conditionalFormatting sqref="B133:C133">
    <cfRule type="colorScale" priority="5">
      <colorScale>
        <cfvo type="min"/>
        <cfvo type="max"/>
        <color theme="6" tint="0.79998168889431442"/>
        <color theme="5" tint="0.39997558519241921"/>
      </colorScale>
    </cfRule>
  </conditionalFormatting>
  <conditionalFormatting sqref="B151:C151">
    <cfRule type="colorScale" priority="4">
      <colorScale>
        <cfvo type="min"/>
        <cfvo type="max"/>
        <color theme="6" tint="0.79998168889431442"/>
        <color theme="5" tint="0.39997558519241921"/>
      </colorScale>
    </cfRule>
  </conditionalFormatting>
  <conditionalFormatting sqref="C45:K45">
    <cfRule type="colorScale" priority="3">
      <colorScale>
        <cfvo type="min"/>
        <cfvo type="max"/>
        <color theme="6" tint="0.79998168889431442"/>
        <color theme="5" tint="0.39997558519241921"/>
      </colorScale>
    </cfRule>
  </conditionalFormatting>
  <conditionalFormatting sqref="C108:I108">
    <cfRule type="colorScale" priority="2">
      <colorScale>
        <cfvo type="min"/>
        <cfvo type="max"/>
        <color theme="6" tint="0.79998168889431442"/>
        <color theme="5" tint="0.39997558519241921"/>
      </colorScale>
    </cfRule>
  </conditionalFormatting>
  <conditionalFormatting sqref="P14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7E6F"/>
  </sheetPr>
  <dimension ref="A1:AVW17"/>
  <sheetViews>
    <sheetView zoomScaleNormal="100" workbookViewId="0">
      <pane xSplit="1" ySplit="1" topLeftCell="I2" activePane="bottomRight" state="frozen"/>
      <selection pane="topRight" activeCell="B1" sqref="B1"/>
      <selection pane="bottomLeft" activeCell="A2" sqref="A2"/>
      <selection pane="bottomRight" activeCell="WF16" sqref="WF16"/>
    </sheetView>
  </sheetViews>
  <sheetFormatPr defaultColWidth="8.81640625" defaultRowHeight="14" x14ac:dyDescent="0.3"/>
  <cols>
    <col min="1" max="1" width="26.08984375" style="1" customWidth="1"/>
    <col min="2" max="4" width="8.81640625" style="1"/>
    <col min="5" max="5" width="13.1796875" style="1" bestFit="1" customWidth="1"/>
    <col min="6" max="7" width="8.81640625" style="1"/>
    <col min="8" max="8" width="9" style="1" bestFit="1" customWidth="1"/>
    <col min="9" max="11" width="8.81640625" style="1"/>
    <col min="12" max="12" width="14.54296875" style="1" customWidth="1"/>
    <col min="13" max="13" width="19.6328125" style="1" customWidth="1"/>
    <col min="14" max="14" width="9.54296875" style="1" customWidth="1"/>
    <col min="15" max="19" width="9" style="1" bestFit="1" customWidth="1"/>
    <col min="20" max="20" width="8.81640625" style="1"/>
    <col min="21" max="21" width="19.453125" style="1" customWidth="1"/>
    <col min="22" max="22" width="9" style="1" bestFit="1" customWidth="1"/>
    <col min="23" max="23" width="8.81640625" style="1"/>
    <col min="24" max="24" width="14.453125" style="1" customWidth="1"/>
    <col min="25" max="30" width="8.81640625" style="1"/>
    <col min="31" max="39" width="8.81640625" style="1" bestFit="1" customWidth="1"/>
    <col min="40" max="41" width="8.81640625" style="1"/>
    <col min="42" max="42" width="16.36328125" style="1" customWidth="1"/>
    <col min="43" max="43" width="9" style="1" bestFit="1" customWidth="1"/>
    <col min="44" max="44" width="17.54296875" style="1" customWidth="1"/>
    <col min="45" max="45" width="14.54296875" style="1" customWidth="1"/>
    <col min="46" max="50" width="8.81640625" style="1"/>
    <col min="51" max="58" width="9" style="1" bestFit="1" customWidth="1"/>
    <col min="59" max="60" width="8.81640625" style="1"/>
    <col min="61" max="67" width="8.81640625" style="1" bestFit="1" customWidth="1"/>
    <col min="68" max="69" width="8.81640625" style="1"/>
    <col min="70" max="81" width="9" style="1" bestFit="1" customWidth="1"/>
    <col min="82" max="120" width="8.81640625" style="1"/>
    <col min="121" max="121" width="22.08984375" style="1" customWidth="1"/>
    <col min="122" max="123" width="8.81640625" style="1"/>
    <col min="124" max="126" width="8.81640625" style="1" bestFit="1" customWidth="1"/>
    <col min="127" max="127" width="47" style="1" customWidth="1"/>
    <col min="128" max="128" width="17.90625" style="1" customWidth="1"/>
    <col min="129" max="130" width="8.81640625" style="1"/>
    <col min="131" max="143" width="8.81640625" style="1" bestFit="1" customWidth="1"/>
    <col min="144" max="145" width="8.81640625" style="1"/>
    <col min="146" max="158" width="8.81640625" style="1" bestFit="1" customWidth="1"/>
    <col min="159" max="161" width="8.81640625" style="1"/>
    <col min="162" max="168" width="8.81640625" style="1" bestFit="1" customWidth="1"/>
    <col min="169" max="170" width="8.81640625" style="1"/>
    <col min="171" max="183" width="8.81640625" style="1" bestFit="1" customWidth="1"/>
    <col min="184" max="186" width="8.81640625" style="1"/>
    <col min="187" max="191" width="8.81640625" style="1" bestFit="1" customWidth="1"/>
    <col min="192" max="193" width="8.81640625" style="1"/>
    <col min="194" max="205" width="8.81640625" style="1" bestFit="1" customWidth="1"/>
    <col min="206" max="207" width="8.81640625" style="1" customWidth="1"/>
    <col min="208" max="208" width="8.81640625" style="1"/>
    <col min="209" max="209" width="8.81640625" style="1" bestFit="1" customWidth="1"/>
    <col min="210" max="231" width="8.81640625" style="1"/>
    <col min="232" max="233" width="8.81640625" style="1" bestFit="1" customWidth="1"/>
    <col min="234" max="238" width="8.81640625" style="1"/>
    <col min="239" max="239" width="8.81640625" style="1" bestFit="1" customWidth="1"/>
    <col min="240" max="245" width="8.81640625" style="1"/>
    <col min="246" max="253" width="8.81640625" style="1" bestFit="1" customWidth="1"/>
    <col min="254" max="264" width="8.81640625" style="1"/>
    <col min="265" max="276" width="8.81640625" style="1" bestFit="1" customWidth="1"/>
    <col min="277" max="318" width="8.81640625" style="1"/>
    <col min="319" max="323" width="8.81640625" style="1" bestFit="1" customWidth="1"/>
    <col min="324" max="325" width="8.81640625" style="1"/>
    <col min="326" max="338" width="8.81640625" style="1" bestFit="1" customWidth="1"/>
    <col min="339" max="340" width="8.81640625" style="1"/>
    <col min="341" max="353" width="8.81640625" style="1" bestFit="1" customWidth="1"/>
    <col min="354" max="388" width="8.81640625" style="1"/>
    <col min="389" max="401" width="8.81640625" style="1" bestFit="1" customWidth="1"/>
    <col min="402" max="403" width="8.81640625" style="1"/>
    <col min="404" max="404" width="8.81640625" style="1" bestFit="1" customWidth="1"/>
    <col min="405" max="432" width="8.81640625" style="1"/>
    <col min="433" max="433" width="9" style="1" bestFit="1" customWidth="1"/>
    <col min="434" max="434" width="8.81640625" style="1"/>
    <col min="435" max="436" width="8.90625" style="1" bestFit="1" customWidth="1"/>
    <col min="437" max="442" width="8.81640625" style="1"/>
    <col min="443" max="443" width="8.90625" style="1" bestFit="1" customWidth="1"/>
    <col min="444" max="446" width="8.81640625" style="1"/>
    <col min="447" max="460" width="9" style="1" bestFit="1" customWidth="1"/>
    <col min="461" max="463" width="8.81640625" style="1"/>
    <col min="464" max="469" width="9" style="1" bestFit="1" customWidth="1"/>
    <col min="470" max="472" width="8.81640625" style="1"/>
    <col min="473" max="477" width="8.90625" style="1" bestFit="1" customWidth="1"/>
    <col min="478" max="478" width="8.81640625" style="1"/>
    <col min="479" max="479" width="9" style="1" bestFit="1" customWidth="1"/>
    <col min="480" max="482" width="8.81640625" style="1"/>
    <col min="483" max="492" width="9" style="1" bestFit="1" customWidth="1"/>
    <col min="493" max="494" width="8.81640625" style="1"/>
    <col min="495" max="501" width="8.81640625" style="1" bestFit="1" customWidth="1"/>
    <col min="502" max="503" width="8.81640625" style="1"/>
    <col min="504" max="511" width="9" style="1" bestFit="1" customWidth="1"/>
    <col min="512" max="512" width="8.81640625" style="1"/>
    <col min="513" max="524" width="9" style="1" bestFit="1" customWidth="1"/>
    <col min="525" max="527" width="8.81640625" style="1"/>
    <col min="528" max="531" width="8.90625" style="1" bestFit="1" customWidth="1"/>
    <col min="532" max="536" width="8.81640625" style="1"/>
    <col min="537" max="544" width="8.81640625" style="1" bestFit="1" customWidth="1"/>
    <col min="545" max="556" width="8.81640625" style="1"/>
    <col min="557" max="561" width="9" style="1" bestFit="1" customWidth="1"/>
    <col min="562" max="566" width="8.81640625" style="1"/>
    <col min="567" max="582" width="9" style="1" bestFit="1" customWidth="1"/>
    <col min="583" max="584" width="8.81640625" style="1"/>
    <col min="585" max="597" width="9" style="1" bestFit="1" customWidth="1"/>
    <col min="598" max="600" width="8.81640625" style="1"/>
    <col min="601" max="607" width="9" style="1" bestFit="1" customWidth="1"/>
    <col min="608" max="609" width="8.81640625" style="1"/>
    <col min="610" max="622" width="9" style="1" bestFit="1" customWidth="1"/>
    <col min="623" max="625" width="8.81640625" style="1"/>
    <col min="626" max="630" width="8.90625" style="1" bestFit="1" customWidth="1"/>
    <col min="631" max="632" width="8.81640625" style="1"/>
    <col min="633" max="645" width="9" style="1" bestFit="1" customWidth="1"/>
    <col min="646" max="649" width="8.81640625" style="1"/>
    <col min="650" max="657" width="9" style="1" bestFit="1" customWidth="1"/>
    <col min="658" max="663" width="8.81640625" style="1"/>
    <col min="664" max="671" width="9" style="1" bestFit="1" customWidth="1"/>
    <col min="672" max="674" width="8.81640625" style="1"/>
    <col min="675" max="679" width="8.90625" style="1" bestFit="1" customWidth="1"/>
    <col min="680" max="681" width="8.81640625" style="1"/>
    <col min="682" max="682" width="9" style="1" bestFit="1" customWidth="1"/>
    <col min="683" max="687" width="8.81640625" style="1"/>
    <col min="688" max="688" width="9" style="1" bestFit="1" customWidth="1"/>
    <col min="689" max="694" width="8.81640625" style="1"/>
    <col min="695" max="695" width="21.6328125" style="1" customWidth="1"/>
    <col min="696" max="696" width="9" style="1" bestFit="1" customWidth="1"/>
    <col min="697" max="697" width="14.1796875" style="1" customWidth="1"/>
    <col min="698" max="699" width="8.81640625" style="1"/>
    <col min="700" max="700" width="9" style="1" bestFit="1" customWidth="1"/>
    <col min="701" max="707" width="8.81640625" style="1"/>
    <col min="708" max="715" width="8.81640625" style="1" bestFit="1" customWidth="1"/>
    <col min="716" max="731" width="8.81640625" style="1"/>
    <col min="732" max="732" width="23.90625" style="1" customWidth="1"/>
    <col min="733" max="739" width="8.81640625" style="1"/>
    <col min="740" max="744" width="9" style="1" bestFit="1" customWidth="1"/>
    <col min="745" max="746" width="8.81640625" style="1"/>
    <col min="747" max="752" width="9" style="1" bestFit="1" customWidth="1"/>
    <col min="753" max="753" width="14.08984375" style="1" customWidth="1"/>
    <col min="754" max="758" width="9" style="1" bestFit="1" customWidth="1"/>
    <col min="759" max="759" width="8.81640625" style="1"/>
    <col min="760" max="760" width="9" style="1" bestFit="1" customWidth="1"/>
    <col min="761" max="761" width="8.81640625" style="1"/>
    <col min="762" max="762" width="9" style="1" bestFit="1" customWidth="1"/>
    <col min="763" max="763" width="8.81640625" style="1"/>
    <col min="764" max="764" width="9" style="1" bestFit="1" customWidth="1"/>
    <col min="765" max="765" width="14.1796875" style="1" customWidth="1"/>
    <col min="766" max="767" width="9" style="1" bestFit="1" customWidth="1"/>
    <col min="768" max="773" width="8.81640625" style="1"/>
    <col min="774" max="776" width="9" style="1" bestFit="1" customWidth="1"/>
    <col min="777" max="777" width="14.90625" style="1" customWidth="1"/>
    <col min="778" max="778" width="9" style="1" bestFit="1" customWidth="1"/>
    <col min="779" max="779" width="8.81640625" style="1"/>
    <col min="780" max="781" width="9" style="1" bestFit="1" customWidth="1"/>
    <col min="782" max="784" width="8.81640625" style="1"/>
    <col min="785" max="791" width="9" style="1" bestFit="1" customWidth="1"/>
    <col min="792" max="793" width="8.81640625" style="1"/>
    <col min="794" max="801" width="8.81640625" style="1" bestFit="1" customWidth="1"/>
    <col min="802" max="802" width="8.81640625" style="1"/>
    <col min="803" max="807" width="9" style="1" bestFit="1" customWidth="1"/>
    <col min="808" max="819" width="8.81640625" style="1"/>
    <col min="820" max="825" width="8.90625" style="1" bestFit="1" customWidth="1"/>
    <col min="826" max="826" width="8.81640625" style="1"/>
    <col min="827" max="831" width="9" style="1" bestFit="1" customWidth="1"/>
    <col min="832" max="849" width="8.81640625" style="1"/>
    <col min="850" max="854" width="9" style="1" bestFit="1" customWidth="1"/>
    <col min="855" max="858" width="8.81640625" style="1"/>
    <col min="859" max="863" width="8.81640625" style="1" bestFit="1" customWidth="1"/>
    <col min="864" max="865" width="8.81640625" style="1"/>
    <col min="866" max="868" width="8.81640625" style="1" bestFit="1" customWidth="1"/>
    <col min="869" max="869" width="12.08984375" style="1" bestFit="1" customWidth="1"/>
    <col min="870" max="870" width="8.81640625" style="1" bestFit="1" customWidth="1"/>
    <col min="871" max="874" width="8.81640625" style="1"/>
    <col min="875" max="875" width="9" style="1" bestFit="1" customWidth="1"/>
    <col min="876" max="876" width="8.81640625" style="1"/>
    <col min="877" max="882" width="9" style="1" bestFit="1" customWidth="1"/>
    <col min="883" max="907" width="8.81640625" style="1"/>
    <col min="908" max="912" width="9" style="1" bestFit="1" customWidth="1"/>
    <col min="913" max="914" width="8.81640625" style="1"/>
    <col min="915" max="925" width="9" style="1" bestFit="1" customWidth="1"/>
    <col min="926" max="927" width="8.81640625" style="1"/>
    <col min="928" max="940" width="9" style="1" bestFit="1" customWidth="1"/>
    <col min="941" max="943" width="8.81640625" style="1"/>
    <col min="944" max="950" width="9" style="1" bestFit="1" customWidth="1"/>
    <col min="951" max="952" width="8.81640625" style="1"/>
    <col min="953" max="964" width="9" style="1" bestFit="1" customWidth="1"/>
    <col min="965" max="967" width="8.81640625" style="1"/>
    <col min="968" max="972" width="8.90625" style="1" bestFit="1" customWidth="1"/>
    <col min="973" max="974" width="8.81640625" style="1"/>
    <col min="975" max="981" width="9" style="1" bestFit="1" customWidth="1"/>
    <col min="982" max="982" width="16" style="1" customWidth="1"/>
    <col min="983" max="986" width="9" style="1" bestFit="1" customWidth="1"/>
    <col min="987" max="988" width="8.81640625" style="1"/>
    <col min="989" max="989" width="9" style="1" bestFit="1" customWidth="1"/>
    <col min="990" max="1010" width="8.81640625" style="1"/>
    <col min="1011" max="1018" width="9" style="1" bestFit="1" customWidth="1"/>
    <col min="1019" max="1020" width="8.81640625" style="1"/>
    <col min="1021" max="1027" width="9" style="1" bestFit="1" customWidth="1"/>
    <col min="1028" max="1028" width="8.81640625" style="1"/>
    <col min="1029" max="1033" width="9" style="1" bestFit="1" customWidth="1"/>
    <col min="1034" max="1035" width="8.81640625" style="1"/>
    <col min="1036" max="1036" width="8.90625" style="1" bestFit="1" customWidth="1"/>
    <col min="1037" max="1037" width="8.81640625" style="1"/>
    <col min="1038" max="1043" width="8.90625" style="1" bestFit="1" customWidth="1"/>
    <col min="1044" max="1044" width="8.81640625" style="1"/>
    <col min="1045" max="1045" width="9" style="1" bestFit="1" customWidth="1"/>
    <col min="1046" max="1048" width="8.81640625" style="1"/>
    <col min="1049" max="1057" width="8.90625" style="1" bestFit="1" customWidth="1"/>
    <col min="1058" max="1059" width="8.81640625" style="1"/>
    <col min="1060" max="1070" width="8.90625" style="1" bestFit="1" customWidth="1"/>
    <col min="1071" max="1072" width="8.81640625" style="1"/>
    <col min="1073" max="1073" width="8.81640625" style="1" bestFit="1" customWidth="1"/>
    <col min="1074" max="1074" width="8.81640625" style="1"/>
    <col min="1075" max="1082" width="9" style="1" bestFit="1" customWidth="1"/>
    <col min="1083" max="1089" width="8.81640625" style="1"/>
    <col min="1090" max="1097" width="9" style="1" bestFit="1" customWidth="1"/>
    <col min="1098" max="1102" width="8.81640625" style="1"/>
    <col min="1103" max="1103" width="8.81640625" style="1" bestFit="1" customWidth="1"/>
    <col min="1104" max="1104" width="9" style="1" bestFit="1" customWidth="1"/>
    <col min="1105" max="1108" width="8.81640625" style="1"/>
    <col min="1109" max="1115" width="8.90625" style="1" bestFit="1" customWidth="1"/>
    <col min="1116" max="1117" width="8.81640625" style="1"/>
    <col min="1118" max="1124" width="8.81640625" style="1" bestFit="1" customWidth="1"/>
    <col min="1125" max="1126" width="8.81640625" style="1"/>
    <col min="1127" max="1127" width="12.08984375" style="1" bestFit="1" customWidth="1"/>
    <col min="1128" max="1131" width="9" style="1" bestFit="1" customWidth="1"/>
    <col min="1132" max="1132" width="12.08984375" style="1" bestFit="1" customWidth="1"/>
    <col min="1133" max="1134" width="8.81640625" style="1"/>
    <col min="1135" max="1135" width="8.90625" style="1" bestFit="1" customWidth="1"/>
    <col min="1136" max="1139" width="8.81640625" style="1"/>
    <col min="1140" max="1140" width="8.90625" style="1" bestFit="1" customWidth="1"/>
    <col min="1141" max="1155" width="8.81640625" style="1"/>
    <col min="1156" max="1156" width="8.90625" style="1" bestFit="1" customWidth="1"/>
    <col min="1157" max="1159" width="8.81640625" style="1"/>
    <col min="1160" max="1171" width="9" style="1" bestFit="1" customWidth="1"/>
    <col min="1172" max="1173" width="8.81640625" style="1"/>
    <col min="1174" max="1180" width="9" style="1" bestFit="1" customWidth="1"/>
    <col min="1181" max="1183" width="8.81640625" style="1"/>
    <col min="1184" max="1190" width="9" style="1" bestFit="1" customWidth="1"/>
    <col min="1191" max="1192" width="8.81640625" style="1"/>
    <col min="1193" max="1197" width="9" style="1" bestFit="1" customWidth="1"/>
    <col min="1198" max="1199" width="8.81640625" style="1"/>
    <col min="1200" max="1212" width="9" style="1" bestFit="1" customWidth="1"/>
    <col min="1213" max="1214" width="8.81640625" style="1"/>
    <col min="1215" max="1231" width="9" style="1" bestFit="1" customWidth="1"/>
    <col min="1232" max="1263" width="8.81640625" style="1"/>
    <col min="1264" max="1271" width="9" style="1" bestFit="1" customWidth="1"/>
    <col min="1272" max="1272" width="8.90625" style="1" bestFit="1" customWidth="1"/>
    <col min="1273" max="1321" width="8.81640625" style="1"/>
    <col min="1322" max="1322" width="10.6328125" style="1" bestFit="1" customWidth="1"/>
    <col min="1323" max="1324" width="8.81640625" style="1"/>
    <col min="1325" max="1325" width="8.90625" style="1" bestFit="1" customWidth="1"/>
    <col min="1326" max="16384" width="8.81640625" style="1"/>
  </cols>
  <sheetData>
    <row r="1" spans="1:1271" ht="12.5" customHeight="1"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X1" s="1" t="s">
        <v>192</v>
      </c>
      <c r="GY1" s="1" t="s">
        <v>1549</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1"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x14ac:dyDescent="0.3">
      <c r="A2" s="1" t="s">
        <v>2965</v>
      </c>
      <c r="B2" s="1" t="s">
        <v>2966</v>
      </c>
      <c r="C2" s="1" t="s">
        <v>2967</v>
      </c>
      <c r="D2" s="1" t="s">
        <v>2968</v>
      </c>
      <c r="E2" s="2">
        <v>356676102907869</v>
      </c>
      <c r="F2" s="1" t="s">
        <v>2968</v>
      </c>
      <c r="H2" s="2"/>
      <c r="I2" s="1" t="s">
        <v>1659</v>
      </c>
      <c r="J2" s="1" t="s">
        <v>2969</v>
      </c>
      <c r="K2" s="1" t="s">
        <v>2969</v>
      </c>
      <c r="N2" s="1" t="s">
        <v>1153</v>
      </c>
      <c r="O2" s="2">
        <v>1</v>
      </c>
      <c r="P2" s="2">
        <v>0</v>
      </c>
      <c r="Q2" s="2">
        <v>0</v>
      </c>
      <c r="R2" s="2">
        <v>0</v>
      </c>
      <c r="S2" s="2">
        <v>0</v>
      </c>
      <c r="U2" s="1" t="s">
        <v>1190</v>
      </c>
      <c r="W2" s="1" t="s">
        <v>1156</v>
      </c>
      <c r="X2" s="1" t="s">
        <v>1156</v>
      </c>
      <c r="AN2" s="1" t="s">
        <v>1182</v>
      </c>
      <c r="AO2" s="2">
        <v>50</v>
      </c>
      <c r="AP2" s="1" t="s">
        <v>2145</v>
      </c>
      <c r="AR2" s="1" t="s">
        <v>2293</v>
      </c>
      <c r="AS2" s="1" t="s">
        <v>1164</v>
      </c>
      <c r="AT2" s="1" t="s">
        <v>1156</v>
      </c>
      <c r="AU2" s="1" t="s">
        <v>1157</v>
      </c>
      <c r="AV2" s="1" t="s">
        <v>1191</v>
      </c>
      <c r="AW2" s="2">
        <v>1</v>
      </c>
      <c r="AX2" s="2">
        <v>0</v>
      </c>
      <c r="AY2" s="2">
        <v>0</v>
      </c>
      <c r="AZ2" s="2">
        <v>0</v>
      </c>
      <c r="BA2" s="2">
        <v>0</v>
      </c>
      <c r="BB2" s="2">
        <v>0</v>
      </c>
      <c r="BC2" s="2">
        <v>0</v>
      </c>
      <c r="BD2" s="2">
        <v>0</v>
      </c>
      <c r="BO2" s="1" t="s">
        <v>1158</v>
      </c>
      <c r="BP2" s="2">
        <v>0</v>
      </c>
      <c r="BQ2" s="2">
        <v>0</v>
      </c>
      <c r="BR2" s="2">
        <v>0</v>
      </c>
      <c r="BS2" s="2">
        <v>0</v>
      </c>
      <c r="BT2" s="2">
        <v>0</v>
      </c>
      <c r="BU2" s="2">
        <v>1</v>
      </c>
      <c r="BV2" s="2">
        <v>0</v>
      </c>
      <c r="BW2" s="2">
        <v>0</v>
      </c>
      <c r="BX2" s="2">
        <v>0</v>
      </c>
      <c r="BY2" s="2">
        <v>0</v>
      </c>
      <c r="BZ2" s="2">
        <v>0</v>
      </c>
      <c r="CA2" s="2">
        <v>0</v>
      </c>
      <c r="CC2" s="1" t="s">
        <v>1155</v>
      </c>
      <c r="DQ2" s="1" t="s">
        <v>1164</v>
      </c>
      <c r="DR2" s="2">
        <v>0</v>
      </c>
      <c r="DS2" s="2">
        <v>0</v>
      </c>
      <c r="DT2" s="2">
        <v>0</v>
      </c>
      <c r="DU2" s="2">
        <v>0</v>
      </c>
      <c r="DV2" s="2">
        <v>1</v>
      </c>
      <c r="DX2" s="1" t="s">
        <v>2376</v>
      </c>
      <c r="DY2" s="2">
        <v>0</v>
      </c>
      <c r="DZ2" s="2">
        <v>1</v>
      </c>
      <c r="EA2" s="2">
        <v>0</v>
      </c>
      <c r="EB2" s="2">
        <v>0</v>
      </c>
      <c r="EC2" s="2">
        <v>0</v>
      </c>
      <c r="ED2" s="2">
        <v>0</v>
      </c>
      <c r="EE2" s="2">
        <v>0</v>
      </c>
      <c r="EF2" s="2">
        <v>0</v>
      </c>
      <c r="EG2" s="2">
        <v>0</v>
      </c>
      <c r="EH2" s="2">
        <v>0</v>
      </c>
      <c r="EI2" s="2">
        <v>0</v>
      </c>
      <c r="EJ2" s="2">
        <v>0</v>
      </c>
      <c r="EK2" s="2">
        <v>0</v>
      </c>
      <c r="EM2" s="1" t="s">
        <v>1194</v>
      </c>
      <c r="EN2" s="2">
        <v>0</v>
      </c>
      <c r="EO2" s="2">
        <v>0</v>
      </c>
      <c r="EP2" s="2">
        <v>0</v>
      </c>
      <c r="EQ2" s="2">
        <v>0</v>
      </c>
      <c r="ER2" s="2">
        <v>1</v>
      </c>
      <c r="ES2" s="2">
        <v>0</v>
      </c>
      <c r="ET2" s="2">
        <v>0</v>
      </c>
      <c r="EU2" s="2">
        <v>0</v>
      </c>
      <c r="EV2" s="2">
        <v>0</v>
      </c>
      <c r="EW2" s="2">
        <v>0</v>
      </c>
      <c r="EX2" s="2">
        <v>0</v>
      </c>
      <c r="EY2" s="2">
        <v>0</v>
      </c>
      <c r="EZ2" s="2">
        <v>0</v>
      </c>
      <c r="FB2" s="1" t="s">
        <v>1156</v>
      </c>
      <c r="FC2" s="1" t="s">
        <v>1158</v>
      </c>
      <c r="FD2" s="2">
        <v>0</v>
      </c>
      <c r="FE2" s="2">
        <v>0</v>
      </c>
      <c r="FF2" s="2">
        <v>0</v>
      </c>
      <c r="FG2" s="2">
        <v>0</v>
      </c>
      <c r="FH2" s="2">
        <v>1</v>
      </c>
      <c r="FI2" s="2">
        <v>0</v>
      </c>
      <c r="FJ2" s="2">
        <v>0</v>
      </c>
      <c r="FL2" s="1" t="s">
        <v>1197</v>
      </c>
      <c r="FM2" s="2">
        <v>0</v>
      </c>
      <c r="FN2" s="2">
        <v>1</v>
      </c>
      <c r="FO2" s="2">
        <v>0</v>
      </c>
      <c r="FP2" s="2">
        <v>0</v>
      </c>
      <c r="FQ2" s="2">
        <v>0</v>
      </c>
      <c r="FR2" s="2">
        <v>0</v>
      </c>
      <c r="FS2" s="2">
        <v>0</v>
      </c>
      <c r="FT2" s="2">
        <v>0</v>
      </c>
      <c r="FU2" s="2">
        <v>0</v>
      </c>
      <c r="FV2" s="2">
        <v>0</v>
      </c>
      <c r="FW2" s="2">
        <v>0</v>
      </c>
      <c r="FX2" s="2">
        <v>0</v>
      </c>
      <c r="FY2" s="2">
        <v>0</v>
      </c>
      <c r="GA2" s="1" t="s">
        <v>1156</v>
      </c>
      <c r="GI2" s="1" t="s">
        <v>1388</v>
      </c>
      <c r="GJ2" s="2">
        <v>1</v>
      </c>
      <c r="GK2" s="2">
        <v>0</v>
      </c>
      <c r="GL2" s="2">
        <v>0</v>
      </c>
      <c r="GM2" s="2">
        <v>0</v>
      </c>
      <c r="GN2" s="2">
        <v>0</v>
      </c>
      <c r="GO2" s="2">
        <v>0</v>
      </c>
      <c r="GP2" s="2">
        <v>0</v>
      </c>
      <c r="GQ2" s="2">
        <v>0</v>
      </c>
      <c r="GR2" s="2">
        <v>0</v>
      </c>
      <c r="GS2" s="2">
        <v>0</v>
      </c>
      <c r="GT2" s="2">
        <v>0</v>
      </c>
      <c r="GU2" s="2">
        <v>0</v>
      </c>
      <c r="GV2" s="2">
        <v>0</v>
      </c>
      <c r="AVT2" s="1">
        <v>136622831</v>
      </c>
      <c r="AVU2" s="1" t="s">
        <v>2970</v>
      </c>
      <c r="AVW2" s="1">
        <v>263</v>
      </c>
    </row>
    <row r="3" spans="1:1271" x14ac:dyDescent="0.3">
      <c r="A3" s="1" t="s">
        <v>2971</v>
      </c>
      <c r="B3" s="1" t="s">
        <v>2972</v>
      </c>
      <c r="C3" s="1" t="s">
        <v>2973</v>
      </c>
      <c r="D3" s="1" t="s">
        <v>2968</v>
      </c>
      <c r="E3" s="2">
        <v>356676102907869</v>
      </c>
      <c r="F3" s="1" t="s">
        <v>2968</v>
      </c>
      <c r="H3" s="2"/>
      <c r="I3" s="1" t="s">
        <v>1659</v>
      </c>
      <c r="J3" s="1" t="s">
        <v>2969</v>
      </c>
      <c r="K3" s="1" t="s">
        <v>2969</v>
      </c>
      <c r="N3" s="1" t="s">
        <v>1153</v>
      </c>
      <c r="O3" s="2">
        <v>1</v>
      </c>
      <c r="P3" s="2">
        <v>0</v>
      </c>
      <c r="Q3" s="2">
        <v>0</v>
      </c>
      <c r="R3" s="2">
        <v>0</v>
      </c>
      <c r="S3" s="2">
        <v>0</v>
      </c>
      <c r="U3" s="1" t="s">
        <v>1840</v>
      </c>
      <c r="W3" s="1" t="s">
        <v>1155</v>
      </c>
      <c r="X3" s="1" t="s">
        <v>1156</v>
      </c>
      <c r="AN3" s="1" t="s">
        <v>1182</v>
      </c>
      <c r="AO3" s="2">
        <v>250</v>
      </c>
      <c r="AP3" s="1" t="s">
        <v>2145</v>
      </c>
      <c r="AR3" s="1" t="s">
        <v>1710</v>
      </c>
      <c r="AS3" s="1" t="s">
        <v>1833</v>
      </c>
      <c r="AT3" s="1" t="s">
        <v>1156</v>
      </c>
      <c r="AU3" s="1" t="s">
        <v>1157</v>
      </c>
      <c r="AV3" s="1" t="s">
        <v>2484</v>
      </c>
      <c r="AW3" s="2">
        <v>0</v>
      </c>
      <c r="AX3" s="2">
        <v>0</v>
      </c>
      <c r="AY3" s="2">
        <v>1</v>
      </c>
      <c r="AZ3" s="2">
        <v>0</v>
      </c>
      <c r="BA3" s="2">
        <v>0</v>
      </c>
      <c r="BB3" s="2">
        <v>0</v>
      </c>
      <c r="BC3" s="2">
        <v>0</v>
      </c>
      <c r="BD3" s="2">
        <v>0</v>
      </c>
      <c r="BO3" s="1" t="s">
        <v>2621</v>
      </c>
      <c r="BP3" s="2">
        <v>0</v>
      </c>
      <c r="BQ3" s="2">
        <v>0</v>
      </c>
      <c r="BR3" s="2">
        <v>0</v>
      </c>
      <c r="BS3" s="2">
        <v>0</v>
      </c>
      <c r="BT3" s="2">
        <v>1</v>
      </c>
      <c r="BU3" s="2">
        <v>0</v>
      </c>
      <c r="BV3" s="2">
        <v>0</v>
      </c>
      <c r="BW3" s="2">
        <v>0</v>
      </c>
      <c r="BX3" s="2">
        <v>0</v>
      </c>
      <c r="BY3" s="2">
        <v>0</v>
      </c>
      <c r="BZ3" s="2">
        <v>0</v>
      </c>
      <c r="CA3" s="2">
        <v>0</v>
      </c>
      <c r="CC3" s="1" t="s">
        <v>1155</v>
      </c>
      <c r="DQ3" s="1" t="s">
        <v>1397</v>
      </c>
      <c r="DR3" s="2">
        <v>1</v>
      </c>
      <c r="DS3" s="2">
        <v>0</v>
      </c>
      <c r="DT3" s="2">
        <v>0</v>
      </c>
      <c r="DU3" s="2">
        <v>0</v>
      </c>
      <c r="DV3" s="2">
        <v>0</v>
      </c>
      <c r="DX3" s="1" t="s">
        <v>2974</v>
      </c>
      <c r="DY3" s="2">
        <v>1</v>
      </c>
      <c r="DZ3" s="2">
        <v>0</v>
      </c>
      <c r="EA3" s="2">
        <v>0</v>
      </c>
      <c r="EB3" s="2">
        <v>0</v>
      </c>
      <c r="EC3" s="2">
        <v>0</v>
      </c>
      <c r="ED3" s="2">
        <v>1</v>
      </c>
      <c r="EE3" s="2">
        <v>0</v>
      </c>
      <c r="EF3" s="2">
        <v>0</v>
      </c>
      <c r="EG3" s="2">
        <v>0</v>
      </c>
      <c r="EH3" s="2">
        <v>0</v>
      </c>
      <c r="EI3" s="2">
        <v>0</v>
      </c>
      <c r="EJ3" s="2">
        <v>0</v>
      </c>
      <c r="EK3" s="2">
        <v>0</v>
      </c>
      <c r="EM3" s="1" t="s">
        <v>1164</v>
      </c>
      <c r="EN3" s="2">
        <v>0</v>
      </c>
      <c r="EO3" s="2">
        <v>0</v>
      </c>
      <c r="EP3" s="2">
        <v>0</v>
      </c>
      <c r="EQ3" s="2">
        <v>0</v>
      </c>
      <c r="ER3" s="2">
        <v>0</v>
      </c>
      <c r="ES3" s="2">
        <v>0</v>
      </c>
      <c r="ET3" s="2">
        <v>0</v>
      </c>
      <c r="EU3" s="2">
        <v>0</v>
      </c>
      <c r="EV3" s="2">
        <v>0</v>
      </c>
      <c r="EW3" s="2">
        <v>1</v>
      </c>
      <c r="EX3" s="2">
        <v>0</v>
      </c>
      <c r="EY3" s="2">
        <v>0</v>
      </c>
      <c r="EZ3" s="2">
        <v>0</v>
      </c>
      <c r="FB3" s="1" t="s">
        <v>1155</v>
      </c>
      <c r="GI3" s="1" t="s">
        <v>2580</v>
      </c>
      <c r="GJ3" s="2">
        <v>0</v>
      </c>
      <c r="GK3" s="2">
        <v>0</v>
      </c>
      <c r="GL3" s="2">
        <v>0</v>
      </c>
      <c r="GM3" s="2">
        <v>0</v>
      </c>
      <c r="GN3" s="2">
        <v>1</v>
      </c>
      <c r="GO3" s="2">
        <v>0</v>
      </c>
      <c r="GP3" s="2">
        <v>0</v>
      </c>
      <c r="GQ3" s="2">
        <v>0</v>
      </c>
      <c r="GR3" s="2">
        <v>0</v>
      </c>
      <c r="GS3" s="2">
        <v>0</v>
      </c>
      <c r="GT3" s="2">
        <v>0</v>
      </c>
      <c r="GU3" s="2">
        <v>0</v>
      </c>
      <c r="GV3" s="2">
        <v>0</v>
      </c>
      <c r="AVT3" s="1">
        <v>136622846</v>
      </c>
      <c r="AVU3" s="1" t="s">
        <v>2975</v>
      </c>
      <c r="AVW3" s="1">
        <v>264</v>
      </c>
    </row>
    <row r="4" spans="1:1271" x14ac:dyDescent="0.3">
      <c r="A4" s="1" t="s">
        <v>2976</v>
      </c>
      <c r="B4" s="1" t="s">
        <v>2977</v>
      </c>
      <c r="C4" s="1" t="s">
        <v>2978</v>
      </c>
      <c r="D4" s="1" t="s">
        <v>2968</v>
      </c>
      <c r="E4" s="2">
        <v>356676102907869</v>
      </c>
      <c r="F4" s="1" t="s">
        <v>2968</v>
      </c>
      <c r="H4" s="2"/>
      <c r="I4" s="1" t="s">
        <v>1659</v>
      </c>
      <c r="J4" s="1" t="s">
        <v>2969</v>
      </c>
      <c r="K4" s="1" t="s">
        <v>2969</v>
      </c>
      <c r="N4" s="1" t="s">
        <v>1160</v>
      </c>
      <c r="O4" s="2">
        <v>0</v>
      </c>
      <c r="P4" s="2">
        <v>0</v>
      </c>
      <c r="Q4" s="2">
        <v>0</v>
      </c>
      <c r="R4" s="2">
        <v>0</v>
      </c>
      <c r="S4" s="2">
        <v>1</v>
      </c>
      <c r="AKT4" s="1" t="s">
        <v>2979</v>
      </c>
      <c r="AKU4" s="1" t="s">
        <v>1156</v>
      </c>
      <c r="ALF4" s="1" t="s">
        <v>1156</v>
      </c>
      <c r="ALG4" s="1" t="s">
        <v>1156</v>
      </c>
      <c r="ALN4" s="1" t="s">
        <v>2980</v>
      </c>
      <c r="ALO4" s="2">
        <v>1</v>
      </c>
      <c r="ALP4" s="2">
        <v>1</v>
      </c>
      <c r="ALQ4" s="2">
        <v>0</v>
      </c>
      <c r="ALR4" s="2">
        <v>0</v>
      </c>
      <c r="ALS4" s="2">
        <v>1</v>
      </c>
      <c r="ALT4" s="2">
        <v>0</v>
      </c>
      <c r="ALU4" s="2">
        <v>1</v>
      </c>
      <c r="ALV4" s="2">
        <v>0</v>
      </c>
      <c r="ALX4" s="1" t="s">
        <v>2981</v>
      </c>
      <c r="ALY4" s="2">
        <v>1</v>
      </c>
      <c r="ALZ4" s="2">
        <v>1</v>
      </c>
      <c r="AMA4" s="2">
        <v>1</v>
      </c>
      <c r="AMB4" s="2">
        <v>1</v>
      </c>
      <c r="AMC4" s="2">
        <v>1</v>
      </c>
      <c r="AMD4" s="2">
        <v>1</v>
      </c>
      <c r="AME4" s="2">
        <v>1</v>
      </c>
      <c r="AMF4" s="1" t="s">
        <v>2125</v>
      </c>
      <c r="AMG4" s="2">
        <v>0</v>
      </c>
      <c r="AMH4" s="2">
        <v>1</v>
      </c>
      <c r="AMI4" s="2">
        <v>0</v>
      </c>
      <c r="AMJ4" s="2">
        <v>0</v>
      </c>
      <c r="AMK4" s="2">
        <v>0</v>
      </c>
      <c r="AMM4" s="1" t="s">
        <v>1155</v>
      </c>
      <c r="AMW4" s="2">
        <v>37</v>
      </c>
      <c r="AMX4" s="1" t="s">
        <v>1156</v>
      </c>
      <c r="AMY4" s="1" t="s">
        <v>1161</v>
      </c>
      <c r="ANK4" s="1" t="s">
        <v>2982</v>
      </c>
      <c r="ANL4" s="2">
        <v>0</v>
      </c>
      <c r="ANM4" s="2">
        <v>0</v>
      </c>
      <c r="ANN4" s="2">
        <v>0</v>
      </c>
      <c r="ANO4" s="2">
        <v>0</v>
      </c>
      <c r="ANP4" s="2">
        <v>0</v>
      </c>
      <c r="ANQ4" s="2">
        <v>1</v>
      </c>
      <c r="ANR4" s="2">
        <v>1</v>
      </c>
      <c r="ANS4" s="2">
        <v>1</v>
      </c>
      <c r="ANT4" s="2">
        <v>0</v>
      </c>
      <c r="ANU4" s="2">
        <v>0</v>
      </c>
      <c r="ANV4" s="2">
        <v>0</v>
      </c>
      <c r="ANX4" s="1" t="s">
        <v>1155</v>
      </c>
      <c r="ANZ4" s="1" t="s">
        <v>2983</v>
      </c>
      <c r="AOA4" s="2">
        <v>1</v>
      </c>
      <c r="AOB4" s="2">
        <v>0</v>
      </c>
      <c r="AOC4" s="2">
        <v>0</v>
      </c>
      <c r="AOD4" s="2">
        <v>0</v>
      </c>
      <c r="AOE4" s="2">
        <v>0</v>
      </c>
      <c r="AOF4" s="2">
        <v>0</v>
      </c>
      <c r="AOG4" s="2">
        <v>0</v>
      </c>
      <c r="AOH4" s="2">
        <v>0</v>
      </c>
      <c r="AOJ4" s="1" t="s">
        <v>1167</v>
      </c>
      <c r="AOL4" s="1" t="s">
        <v>1168</v>
      </c>
      <c r="AOO4" s="1" t="s">
        <v>2983</v>
      </c>
      <c r="AOP4" s="2">
        <v>1</v>
      </c>
      <c r="AOQ4" s="2">
        <v>0</v>
      </c>
      <c r="AOR4" s="2">
        <v>0</v>
      </c>
      <c r="AOS4" s="2">
        <v>0</v>
      </c>
      <c r="AOT4" s="2">
        <v>0</v>
      </c>
      <c r="AOU4" s="2">
        <v>0</v>
      </c>
      <c r="AOV4" s="2">
        <v>0</v>
      </c>
      <c r="AOW4" s="2">
        <v>0</v>
      </c>
      <c r="AOY4" s="1" t="s">
        <v>1167</v>
      </c>
      <c r="APA4" s="1" t="s">
        <v>1394</v>
      </c>
      <c r="APD4" s="2">
        <v>20</v>
      </c>
      <c r="APF4" s="57" t="s">
        <v>1880</v>
      </c>
      <c r="APZ4" s="1" t="s">
        <v>2984</v>
      </c>
      <c r="AQA4" s="2">
        <v>1</v>
      </c>
      <c r="AQB4" s="2">
        <v>1</v>
      </c>
      <c r="AQC4" s="2">
        <v>0</v>
      </c>
      <c r="AQD4" s="2">
        <v>0</v>
      </c>
      <c r="AQE4" s="2">
        <v>0</v>
      </c>
      <c r="AQF4" s="2">
        <v>0</v>
      </c>
      <c r="AQG4" s="57" t="s">
        <v>3387</v>
      </c>
      <c r="AQI4" s="90">
        <v>2000</v>
      </c>
      <c r="AQJ4" s="1" t="s">
        <v>2985</v>
      </c>
      <c r="AQL4" s="1" t="s">
        <v>2986</v>
      </c>
      <c r="AQN4" s="90">
        <v>1000</v>
      </c>
      <c r="AQO4" s="1" t="s">
        <v>1163</v>
      </c>
      <c r="ARG4" s="1" t="s">
        <v>1159</v>
      </c>
      <c r="ARH4" s="2">
        <v>0</v>
      </c>
      <c r="ARI4" s="2">
        <v>0</v>
      </c>
      <c r="ARJ4" s="2">
        <v>1</v>
      </c>
      <c r="ARK4" s="2">
        <v>0</v>
      </c>
      <c r="ARL4" s="2">
        <v>0</v>
      </c>
      <c r="ARM4" s="2">
        <v>0</v>
      </c>
      <c r="ARN4" s="2">
        <v>0</v>
      </c>
      <c r="ARO4" s="2">
        <v>0</v>
      </c>
      <c r="ARP4" s="2">
        <v>0</v>
      </c>
      <c r="ARQ4" s="2">
        <v>0</v>
      </c>
      <c r="ARR4" s="2">
        <v>0</v>
      </c>
      <c r="ARS4" s="2">
        <v>0</v>
      </c>
      <c r="ARU4" s="1" t="s">
        <v>1163</v>
      </c>
      <c r="ARV4" s="2">
        <v>1</v>
      </c>
      <c r="ARW4" s="2">
        <v>0</v>
      </c>
      <c r="ARX4" s="2">
        <v>0</v>
      </c>
      <c r="ARY4" s="2">
        <v>0</v>
      </c>
      <c r="ARZ4" s="2">
        <v>0</v>
      </c>
      <c r="ASA4" s="2">
        <v>0</v>
      </c>
      <c r="ASB4" s="2">
        <v>0</v>
      </c>
      <c r="ASD4" s="1" t="s">
        <v>1156</v>
      </c>
      <c r="ASE4" s="1" t="s">
        <v>2987</v>
      </c>
      <c r="ASF4" s="2">
        <v>0</v>
      </c>
      <c r="ASG4" s="2">
        <v>1</v>
      </c>
      <c r="ASH4" s="2">
        <v>0</v>
      </c>
      <c r="ASI4" s="2">
        <v>0</v>
      </c>
      <c r="ASJ4" s="2">
        <v>0</v>
      </c>
      <c r="ASK4" s="2">
        <v>0</v>
      </c>
      <c r="ASL4" s="2">
        <v>0</v>
      </c>
      <c r="ASN4" s="1" t="s">
        <v>1397</v>
      </c>
      <c r="ASO4" s="2">
        <v>1</v>
      </c>
      <c r="ASP4" s="2">
        <v>0</v>
      </c>
      <c r="ASQ4" s="2">
        <v>0</v>
      </c>
      <c r="ASR4" s="2">
        <v>0</v>
      </c>
      <c r="ASS4" s="2">
        <v>0</v>
      </c>
      <c r="ASU4" s="1" t="s">
        <v>1163</v>
      </c>
      <c r="ASV4" s="2">
        <v>1</v>
      </c>
      <c r="ASW4" s="2">
        <v>0</v>
      </c>
      <c r="ASX4" s="2">
        <v>0</v>
      </c>
      <c r="ASY4" s="2">
        <v>0</v>
      </c>
      <c r="ASZ4" s="2">
        <v>0</v>
      </c>
      <c r="ATA4" s="2">
        <v>0</v>
      </c>
      <c r="ATB4" s="2">
        <v>0</v>
      </c>
      <c r="ATC4" s="2">
        <v>0</v>
      </c>
      <c r="ATD4" s="2">
        <v>0</v>
      </c>
      <c r="ATE4" s="2">
        <v>0</v>
      </c>
      <c r="ATF4" s="2">
        <v>0</v>
      </c>
      <c r="ATG4" s="2">
        <v>0</v>
      </c>
      <c r="ATH4" s="2">
        <v>0</v>
      </c>
      <c r="ATJ4" s="1" t="s">
        <v>2988</v>
      </c>
      <c r="ATK4" s="2">
        <v>1</v>
      </c>
      <c r="ATL4" s="2">
        <v>0</v>
      </c>
      <c r="ATM4" s="2">
        <v>1</v>
      </c>
      <c r="ATN4" s="2">
        <v>0</v>
      </c>
      <c r="ATO4" s="2">
        <v>0</v>
      </c>
      <c r="ATP4" s="2">
        <v>0</v>
      </c>
      <c r="ATQ4" s="2">
        <v>0</v>
      </c>
      <c r="ATR4" s="2">
        <v>0</v>
      </c>
      <c r="ATS4" s="2">
        <v>0</v>
      </c>
      <c r="ATT4" s="2">
        <v>0</v>
      </c>
      <c r="ATU4" s="2">
        <v>0</v>
      </c>
      <c r="ATV4" s="2">
        <v>0</v>
      </c>
      <c r="ATW4" s="2">
        <v>0</v>
      </c>
      <c r="ATX4" s="2">
        <v>1</v>
      </c>
      <c r="ATY4" s="2">
        <v>0</v>
      </c>
      <c r="ATZ4" s="2">
        <v>0</v>
      </c>
      <c r="AUA4" s="2">
        <v>0</v>
      </c>
      <c r="AUC4" s="1" t="s">
        <v>1155</v>
      </c>
      <c r="AVG4" s="1" t="s">
        <v>2989</v>
      </c>
      <c r="AVH4" s="2">
        <v>1</v>
      </c>
      <c r="AVI4" s="2">
        <v>0</v>
      </c>
      <c r="AVJ4" s="2">
        <v>0</v>
      </c>
      <c r="AVK4" s="2">
        <v>1</v>
      </c>
      <c r="AVL4" s="2">
        <v>1</v>
      </c>
      <c r="AVM4" s="2">
        <v>0</v>
      </c>
      <c r="AVN4" s="2">
        <v>0</v>
      </c>
      <c r="AVO4" s="2">
        <v>0</v>
      </c>
      <c r="AVP4" s="2">
        <v>0</v>
      </c>
      <c r="AVT4" s="1">
        <v>136622858</v>
      </c>
      <c r="AVU4" s="1" t="s">
        <v>2990</v>
      </c>
      <c r="AVW4" s="1">
        <v>265</v>
      </c>
    </row>
    <row r="5" spans="1:1271" x14ac:dyDescent="0.3">
      <c r="A5" s="1" t="s">
        <v>2991</v>
      </c>
      <c r="B5" s="1" t="s">
        <v>2992</v>
      </c>
      <c r="C5" s="1" t="s">
        <v>2993</v>
      </c>
      <c r="D5" s="1" t="s">
        <v>2994</v>
      </c>
      <c r="E5" s="2">
        <v>356676102907869</v>
      </c>
      <c r="F5" s="1" t="s">
        <v>2994</v>
      </c>
      <c r="H5" s="2"/>
      <c r="I5" s="1" t="s">
        <v>1659</v>
      </c>
      <c r="J5" s="1" t="s">
        <v>2969</v>
      </c>
      <c r="K5" s="1" t="s">
        <v>2969</v>
      </c>
      <c r="N5" s="1" t="s">
        <v>1170</v>
      </c>
      <c r="O5" s="2">
        <v>0</v>
      </c>
      <c r="P5" s="2">
        <v>0</v>
      </c>
      <c r="Q5" s="2">
        <v>1</v>
      </c>
      <c r="R5" s="2">
        <v>0</v>
      </c>
      <c r="S5" s="2">
        <v>0</v>
      </c>
      <c r="ZS5" s="57" t="s">
        <v>3385</v>
      </c>
      <c r="ZT5" s="2" t="s">
        <v>1171</v>
      </c>
      <c r="ZV5" s="1" t="s">
        <v>1172</v>
      </c>
      <c r="ZX5" s="1" t="s">
        <v>1156</v>
      </c>
      <c r="ABE5" s="1" t="s">
        <v>1173</v>
      </c>
      <c r="ABF5" s="2">
        <v>1</v>
      </c>
      <c r="ABG5" s="2">
        <v>0</v>
      </c>
      <c r="ABH5" s="2">
        <v>0</v>
      </c>
      <c r="ABI5" s="2">
        <v>0</v>
      </c>
      <c r="ABJ5" s="2">
        <v>0</v>
      </c>
      <c r="ABL5" s="1" t="s">
        <v>1177</v>
      </c>
      <c r="ABM5" s="2">
        <v>0</v>
      </c>
      <c r="ABN5" s="2">
        <v>0</v>
      </c>
      <c r="ABO5" s="2">
        <v>0</v>
      </c>
      <c r="ABP5" s="2">
        <v>0</v>
      </c>
      <c r="ABQ5" s="2">
        <v>0</v>
      </c>
      <c r="ABR5" s="2">
        <v>0</v>
      </c>
      <c r="ABS5" s="2">
        <v>0</v>
      </c>
      <c r="ABT5" s="2">
        <v>0</v>
      </c>
      <c r="ABU5" s="2">
        <v>0</v>
      </c>
      <c r="ABV5" s="2">
        <v>0</v>
      </c>
      <c r="ABW5" s="2">
        <v>0</v>
      </c>
      <c r="ABX5" s="2">
        <v>1</v>
      </c>
      <c r="ABZ5" s="2">
        <v>6</v>
      </c>
      <c r="ACA5" s="1" t="s">
        <v>1155</v>
      </c>
      <c r="ACJ5" s="1" t="s">
        <v>1156</v>
      </c>
      <c r="ACK5" s="1" t="s">
        <v>1840</v>
      </c>
      <c r="ACM5" s="1" t="s">
        <v>1155</v>
      </c>
      <c r="ACN5" s="2">
        <v>215</v>
      </c>
      <c r="ACO5" s="2">
        <v>102</v>
      </c>
      <c r="ACP5" s="2">
        <v>113</v>
      </c>
      <c r="ACQ5" s="2">
        <v>103</v>
      </c>
      <c r="ACR5" s="2">
        <v>205</v>
      </c>
      <c r="ACT5" s="2">
        <v>6</v>
      </c>
      <c r="ACU5" s="2">
        <v>16</v>
      </c>
      <c r="ACV5" s="1" t="s">
        <v>1156</v>
      </c>
      <c r="ACW5" s="1" t="s">
        <v>1157</v>
      </c>
      <c r="ACX5" s="1" t="s">
        <v>1154</v>
      </c>
      <c r="ACY5" s="2">
        <v>0</v>
      </c>
      <c r="ACZ5" s="2">
        <v>0</v>
      </c>
      <c r="ADA5" s="2">
        <v>0</v>
      </c>
      <c r="ADB5" s="2">
        <v>0</v>
      </c>
      <c r="ADC5" s="2">
        <v>0</v>
      </c>
      <c r="ADD5" s="2">
        <v>1</v>
      </c>
      <c r="ADE5" s="2">
        <v>0</v>
      </c>
      <c r="ADF5" s="57" t="s">
        <v>2995</v>
      </c>
      <c r="ADQ5" s="2">
        <v>2</v>
      </c>
      <c r="ADR5" s="2">
        <v>0</v>
      </c>
      <c r="ADS5" s="2">
        <v>2</v>
      </c>
      <c r="ADT5" s="2">
        <v>2</v>
      </c>
      <c r="ADU5" s="2">
        <v>2</v>
      </c>
      <c r="ADW5" s="1" t="s">
        <v>1155</v>
      </c>
      <c r="AEO5" s="2">
        <v>0</v>
      </c>
      <c r="AEP5" s="2">
        <v>0</v>
      </c>
      <c r="AEQ5" s="2">
        <v>0</v>
      </c>
      <c r="AER5" s="2">
        <v>0</v>
      </c>
      <c r="AES5" s="2">
        <v>0</v>
      </c>
      <c r="AEU5" s="1" t="s">
        <v>1155</v>
      </c>
      <c r="AFL5" s="2">
        <v>4</v>
      </c>
      <c r="AFM5" s="2">
        <v>0</v>
      </c>
      <c r="AFN5" s="2">
        <v>4</v>
      </c>
      <c r="AFO5" s="2">
        <v>4</v>
      </c>
      <c r="AFP5" s="2">
        <v>4</v>
      </c>
      <c r="AFR5" s="1" t="s">
        <v>1155</v>
      </c>
      <c r="AGH5" s="1" t="s">
        <v>1174</v>
      </c>
      <c r="AGI5" s="1" t="s">
        <v>1187</v>
      </c>
      <c r="AGJ5" s="1" t="s">
        <v>1156</v>
      </c>
      <c r="AGK5" s="90">
        <v>650</v>
      </c>
      <c r="AGL5" s="1" t="s">
        <v>2996</v>
      </c>
      <c r="AGM5" s="2">
        <v>1</v>
      </c>
      <c r="AGN5" s="2">
        <v>1</v>
      </c>
      <c r="AGO5" s="2">
        <v>0</v>
      </c>
      <c r="AGP5" s="2">
        <v>0</v>
      </c>
      <c r="AGQ5" s="2">
        <v>0</v>
      </c>
      <c r="AGR5" s="2">
        <v>0</v>
      </c>
      <c r="AGT5" s="1" t="s">
        <v>1155</v>
      </c>
      <c r="AHQ5" s="1" t="s">
        <v>1169</v>
      </c>
      <c r="AHR5" s="2">
        <v>0</v>
      </c>
      <c r="AHS5" s="2">
        <v>1</v>
      </c>
      <c r="AHT5" s="2">
        <v>0</v>
      </c>
      <c r="AHU5" s="2">
        <v>0</v>
      </c>
      <c r="AHV5" s="2">
        <v>0</v>
      </c>
      <c r="AHX5" s="1" t="s">
        <v>2997</v>
      </c>
      <c r="AHY5" s="2">
        <v>0</v>
      </c>
      <c r="AHZ5" s="2">
        <v>1</v>
      </c>
      <c r="AIA5" s="2">
        <v>1</v>
      </c>
      <c r="AIB5" s="2">
        <v>1</v>
      </c>
      <c r="AIC5" s="2">
        <v>1</v>
      </c>
      <c r="AID5" s="2">
        <v>1</v>
      </c>
      <c r="AIE5" s="2">
        <v>0</v>
      </c>
      <c r="AIF5" s="2">
        <v>0</v>
      </c>
      <c r="AIG5" s="2">
        <v>0</v>
      </c>
      <c r="AIH5" s="2">
        <v>0</v>
      </c>
      <c r="AII5" s="2">
        <v>0</v>
      </c>
      <c r="AIK5" s="1" t="s">
        <v>2621</v>
      </c>
      <c r="AIL5" s="2">
        <v>0</v>
      </c>
      <c r="AIM5" s="2">
        <v>0</v>
      </c>
      <c r="AIN5" s="2">
        <v>0</v>
      </c>
      <c r="AIO5" s="2">
        <v>1</v>
      </c>
      <c r="AIP5" s="2">
        <v>0</v>
      </c>
      <c r="AIQ5" s="2">
        <v>0</v>
      </c>
      <c r="AIR5" s="2">
        <v>0</v>
      </c>
      <c r="AIS5" s="2">
        <v>0</v>
      </c>
      <c r="AIT5" s="2">
        <v>0</v>
      </c>
      <c r="AIU5" s="2">
        <v>0</v>
      </c>
      <c r="AIV5" s="2">
        <v>0</v>
      </c>
      <c r="AIW5" s="2">
        <v>0</v>
      </c>
      <c r="AIX5" s="2">
        <v>0</v>
      </c>
      <c r="AIZ5" s="1" t="s">
        <v>1155</v>
      </c>
      <c r="AKF5" s="1" t="s">
        <v>2998</v>
      </c>
      <c r="AKG5" s="2">
        <v>0</v>
      </c>
      <c r="AKH5" s="2">
        <v>1</v>
      </c>
      <c r="AKI5" s="2">
        <v>1</v>
      </c>
      <c r="AKJ5" s="2">
        <v>1</v>
      </c>
      <c r="AKK5" s="2">
        <v>0</v>
      </c>
      <c r="AKL5" s="2">
        <v>0</v>
      </c>
      <c r="AKM5" s="2">
        <v>1</v>
      </c>
      <c r="AKN5" s="2">
        <v>1</v>
      </c>
      <c r="AKO5" s="2">
        <v>0</v>
      </c>
      <c r="AKP5" s="2">
        <v>0</v>
      </c>
      <c r="AKQ5" s="2">
        <v>0</v>
      </c>
      <c r="AKR5" s="2">
        <v>0</v>
      </c>
      <c r="AVT5" s="1">
        <v>136622881</v>
      </c>
      <c r="AVU5" s="1" t="s">
        <v>2999</v>
      </c>
      <c r="AVW5" s="1">
        <v>267</v>
      </c>
    </row>
    <row r="6" spans="1:1271" x14ac:dyDescent="0.3">
      <c r="A6" s="1" t="s">
        <v>3000</v>
      </c>
      <c r="B6" s="1" t="s">
        <v>3001</v>
      </c>
      <c r="C6" s="1" t="s">
        <v>3002</v>
      </c>
      <c r="D6" s="1" t="s">
        <v>2968</v>
      </c>
      <c r="E6" s="2">
        <v>356676102908909</v>
      </c>
      <c r="F6" s="1" t="s">
        <v>2968</v>
      </c>
      <c r="H6" s="2"/>
      <c r="I6" s="1" t="s">
        <v>1659</v>
      </c>
      <c r="J6" s="1" t="s">
        <v>2969</v>
      </c>
      <c r="K6" s="1" t="s">
        <v>2969</v>
      </c>
      <c r="N6" s="1" t="s">
        <v>1153</v>
      </c>
      <c r="O6" s="2">
        <v>1</v>
      </c>
      <c r="P6" s="2">
        <v>0</v>
      </c>
      <c r="Q6" s="2">
        <v>0</v>
      </c>
      <c r="R6" s="2">
        <v>0</v>
      </c>
      <c r="S6" s="2">
        <v>0</v>
      </c>
      <c r="U6" s="1" t="s">
        <v>1840</v>
      </c>
      <c r="W6" s="1" t="s">
        <v>1155</v>
      </c>
      <c r="X6" s="1" t="s">
        <v>1156</v>
      </c>
      <c r="AN6" s="1" t="s">
        <v>1182</v>
      </c>
      <c r="AO6" s="2">
        <v>35</v>
      </c>
      <c r="AP6" s="1" t="s">
        <v>2145</v>
      </c>
      <c r="AR6" s="1" t="s">
        <v>1710</v>
      </c>
      <c r="AS6" s="1" t="s">
        <v>2437</v>
      </c>
      <c r="AT6" s="1" t="s">
        <v>1156</v>
      </c>
      <c r="AU6" s="1" t="s">
        <v>1157</v>
      </c>
      <c r="AV6" s="1" t="s">
        <v>2506</v>
      </c>
      <c r="AW6" s="2">
        <v>0</v>
      </c>
      <c r="AX6" s="2">
        <v>0</v>
      </c>
      <c r="AY6" s="2">
        <v>0</v>
      </c>
      <c r="AZ6" s="2">
        <v>1</v>
      </c>
      <c r="BA6" s="2">
        <v>0</v>
      </c>
      <c r="BB6" s="2">
        <v>0</v>
      </c>
      <c r="BC6" s="2">
        <v>0</v>
      </c>
      <c r="BD6" s="2">
        <v>0</v>
      </c>
      <c r="BO6" s="1" t="s">
        <v>1158</v>
      </c>
      <c r="BP6" s="2">
        <v>0</v>
      </c>
      <c r="BQ6" s="2">
        <v>0</v>
      </c>
      <c r="BR6" s="2">
        <v>0</v>
      </c>
      <c r="BS6" s="2">
        <v>0</v>
      </c>
      <c r="BT6" s="2">
        <v>0</v>
      </c>
      <c r="BU6" s="2">
        <v>1</v>
      </c>
      <c r="BV6" s="2">
        <v>0</v>
      </c>
      <c r="BW6" s="2">
        <v>0</v>
      </c>
      <c r="BX6" s="2">
        <v>0</v>
      </c>
      <c r="BY6" s="2">
        <v>0</v>
      </c>
      <c r="BZ6" s="2">
        <v>0</v>
      </c>
      <c r="CA6" s="2">
        <v>0</v>
      </c>
      <c r="CC6" s="1" t="s">
        <v>1155</v>
      </c>
      <c r="DQ6" s="1" t="s">
        <v>1169</v>
      </c>
      <c r="DR6" s="2">
        <v>0</v>
      </c>
      <c r="DS6" s="2">
        <v>1</v>
      </c>
      <c r="DT6" s="2">
        <v>0</v>
      </c>
      <c r="DU6" s="2">
        <v>0</v>
      </c>
      <c r="DV6" s="2">
        <v>0</v>
      </c>
      <c r="DX6" s="1" t="s">
        <v>3003</v>
      </c>
      <c r="DY6" s="2">
        <v>1</v>
      </c>
      <c r="DZ6" s="2">
        <v>0</v>
      </c>
      <c r="EA6" s="2">
        <v>0</v>
      </c>
      <c r="EB6" s="2">
        <v>0</v>
      </c>
      <c r="EC6" s="2">
        <v>0</v>
      </c>
      <c r="ED6" s="2">
        <v>0</v>
      </c>
      <c r="EE6" s="2">
        <v>0</v>
      </c>
      <c r="EF6" s="2">
        <v>0</v>
      </c>
      <c r="EG6" s="2">
        <v>1</v>
      </c>
      <c r="EH6" s="2">
        <v>0</v>
      </c>
      <c r="EI6" s="2">
        <v>0</v>
      </c>
      <c r="EJ6" s="2">
        <v>0</v>
      </c>
      <c r="EK6" s="2">
        <v>0</v>
      </c>
      <c r="EM6" s="1" t="s">
        <v>1194</v>
      </c>
      <c r="EN6" s="2">
        <v>0</v>
      </c>
      <c r="EO6" s="2">
        <v>0</v>
      </c>
      <c r="EP6" s="2">
        <v>0</v>
      </c>
      <c r="EQ6" s="2">
        <v>0</v>
      </c>
      <c r="ER6" s="2">
        <v>1</v>
      </c>
      <c r="ES6" s="2">
        <v>0</v>
      </c>
      <c r="ET6" s="2">
        <v>0</v>
      </c>
      <c r="EU6" s="2">
        <v>0</v>
      </c>
      <c r="EV6" s="2">
        <v>0</v>
      </c>
      <c r="EW6" s="2">
        <v>0</v>
      </c>
      <c r="EX6" s="2">
        <v>0</v>
      </c>
      <c r="EY6" s="2">
        <v>0</v>
      </c>
      <c r="EZ6" s="2">
        <v>0</v>
      </c>
      <c r="FB6" s="1" t="s">
        <v>1155</v>
      </c>
      <c r="GI6" s="1" t="s">
        <v>1402</v>
      </c>
      <c r="GJ6" s="2">
        <v>0</v>
      </c>
      <c r="GK6" s="2">
        <v>0</v>
      </c>
      <c r="GL6" s="2">
        <v>0</v>
      </c>
      <c r="GM6" s="2">
        <v>0</v>
      </c>
      <c r="GN6" s="2">
        <v>0</v>
      </c>
      <c r="GO6" s="2">
        <v>0</v>
      </c>
      <c r="GP6" s="2">
        <v>0</v>
      </c>
      <c r="GQ6" s="2">
        <v>1</v>
      </c>
      <c r="GR6" s="2">
        <v>0</v>
      </c>
      <c r="GS6" s="2">
        <v>0</v>
      </c>
      <c r="GT6" s="2">
        <v>0</v>
      </c>
      <c r="GU6" s="2">
        <v>0</v>
      </c>
      <c r="GV6" s="2">
        <v>0</v>
      </c>
      <c r="AVT6" s="1">
        <v>136623771</v>
      </c>
      <c r="AVU6" s="1" t="s">
        <v>3004</v>
      </c>
      <c r="AVW6" s="1">
        <v>311</v>
      </c>
    </row>
    <row r="7" spans="1:1271" x14ac:dyDescent="0.3">
      <c r="A7" s="1" t="s">
        <v>3005</v>
      </c>
      <c r="B7" s="1" t="s">
        <v>3006</v>
      </c>
      <c r="C7" s="1" t="s">
        <v>3007</v>
      </c>
      <c r="D7" s="1" t="s">
        <v>2968</v>
      </c>
      <c r="E7" s="2">
        <v>356676102908909</v>
      </c>
      <c r="F7" s="1" t="s">
        <v>2968</v>
      </c>
      <c r="H7" s="2"/>
      <c r="I7" s="1" t="s">
        <v>1659</v>
      </c>
      <c r="J7" s="1" t="s">
        <v>2969</v>
      </c>
      <c r="K7" s="1" t="s">
        <v>2969</v>
      </c>
      <c r="N7" s="1" t="s">
        <v>1153</v>
      </c>
      <c r="O7" s="2">
        <v>1</v>
      </c>
      <c r="P7" s="2">
        <v>0</v>
      </c>
      <c r="Q7" s="2">
        <v>0</v>
      </c>
      <c r="R7" s="2">
        <v>0</v>
      </c>
      <c r="S7" s="2">
        <v>0</v>
      </c>
      <c r="U7" s="1" t="s">
        <v>1840</v>
      </c>
      <c r="W7" s="1" t="s">
        <v>1156</v>
      </c>
      <c r="X7" s="1" t="s">
        <v>1156</v>
      </c>
      <c r="AN7" s="1" t="s">
        <v>1182</v>
      </c>
      <c r="AO7" s="2">
        <v>520</v>
      </c>
      <c r="AP7" s="1" t="s">
        <v>2145</v>
      </c>
      <c r="AR7" s="1" t="s">
        <v>2293</v>
      </c>
      <c r="AS7" s="1" t="s">
        <v>1833</v>
      </c>
      <c r="AT7" s="1" t="s">
        <v>1156</v>
      </c>
      <c r="AU7" s="1" t="s">
        <v>1157</v>
      </c>
      <c r="AV7" s="1" t="s">
        <v>2146</v>
      </c>
      <c r="AW7" s="2">
        <v>0</v>
      </c>
      <c r="AX7" s="2">
        <v>0</v>
      </c>
      <c r="AY7" s="2">
        <v>0</v>
      </c>
      <c r="AZ7" s="2">
        <v>0</v>
      </c>
      <c r="BA7" s="2">
        <v>0</v>
      </c>
      <c r="BB7" s="2">
        <v>1</v>
      </c>
      <c r="BC7" s="2">
        <v>0</v>
      </c>
      <c r="BD7" s="2">
        <v>0</v>
      </c>
      <c r="BO7" s="1" t="s">
        <v>2485</v>
      </c>
      <c r="BP7" s="2">
        <v>0</v>
      </c>
      <c r="BQ7" s="2">
        <v>0</v>
      </c>
      <c r="BR7" s="2">
        <v>0</v>
      </c>
      <c r="BS7" s="2">
        <v>0</v>
      </c>
      <c r="BT7" s="2">
        <v>1</v>
      </c>
      <c r="BU7" s="2">
        <v>0</v>
      </c>
      <c r="BV7" s="2">
        <v>0</v>
      </c>
      <c r="BW7" s="2">
        <v>0</v>
      </c>
      <c r="BX7" s="2">
        <v>0</v>
      </c>
      <c r="BY7" s="2">
        <v>0</v>
      </c>
      <c r="BZ7" s="2">
        <v>1</v>
      </c>
      <c r="CA7" s="2">
        <v>0</v>
      </c>
      <c r="CC7" s="1" t="s">
        <v>1155</v>
      </c>
      <c r="DQ7" s="1" t="s">
        <v>1169</v>
      </c>
      <c r="DR7" s="2">
        <v>0</v>
      </c>
      <c r="DS7" s="2">
        <v>1</v>
      </c>
      <c r="DT7" s="2">
        <v>0</v>
      </c>
      <c r="DU7" s="2">
        <v>0</v>
      </c>
      <c r="DV7" s="2">
        <v>0</v>
      </c>
      <c r="DX7" s="1" t="s">
        <v>2376</v>
      </c>
      <c r="DY7" s="2">
        <v>0</v>
      </c>
      <c r="DZ7" s="2">
        <v>1</v>
      </c>
      <c r="EA7" s="2">
        <v>0</v>
      </c>
      <c r="EB7" s="2">
        <v>0</v>
      </c>
      <c r="EC7" s="2">
        <v>0</v>
      </c>
      <c r="ED7" s="2">
        <v>0</v>
      </c>
      <c r="EE7" s="2">
        <v>0</v>
      </c>
      <c r="EF7" s="2">
        <v>0</v>
      </c>
      <c r="EG7" s="2">
        <v>0</v>
      </c>
      <c r="EH7" s="2">
        <v>0</v>
      </c>
      <c r="EI7" s="2">
        <v>0</v>
      </c>
      <c r="EJ7" s="2">
        <v>0</v>
      </c>
      <c r="EK7" s="2">
        <v>0</v>
      </c>
      <c r="EM7" s="1" t="s">
        <v>3008</v>
      </c>
      <c r="EN7" s="2">
        <v>0</v>
      </c>
      <c r="EO7" s="2">
        <v>0</v>
      </c>
      <c r="EP7" s="2">
        <v>0</v>
      </c>
      <c r="EQ7" s="2">
        <v>1</v>
      </c>
      <c r="ER7" s="2">
        <v>0</v>
      </c>
      <c r="ES7" s="2">
        <v>1</v>
      </c>
      <c r="ET7" s="2">
        <v>0</v>
      </c>
      <c r="EU7" s="2">
        <v>0</v>
      </c>
      <c r="EV7" s="2">
        <v>0</v>
      </c>
      <c r="EW7" s="2">
        <v>0</v>
      </c>
      <c r="EX7" s="2">
        <v>0</v>
      </c>
      <c r="EY7" s="2">
        <v>0</v>
      </c>
      <c r="EZ7" s="2">
        <v>0</v>
      </c>
      <c r="FB7" s="1" t="s">
        <v>1155</v>
      </c>
      <c r="GI7" s="1" t="s">
        <v>1197</v>
      </c>
      <c r="GJ7" s="2">
        <v>0</v>
      </c>
      <c r="GK7" s="2">
        <v>1</v>
      </c>
      <c r="GL7" s="2">
        <v>0</v>
      </c>
      <c r="GM7" s="2">
        <v>0</v>
      </c>
      <c r="GN7" s="2">
        <v>0</v>
      </c>
      <c r="GO7" s="2">
        <v>0</v>
      </c>
      <c r="GP7" s="2">
        <v>0</v>
      </c>
      <c r="GQ7" s="2">
        <v>0</v>
      </c>
      <c r="GR7" s="2">
        <v>0</v>
      </c>
      <c r="GS7" s="2">
        <v>0</v>
      </c>
      <c r="GT7" s="2">
        <v>0</v>
      </c>
      <c r="GU7" s="2">
        <v>0</v>
      </c>
      <c r="GV7" s="2">
        <v>0</v>
      </c>
      <c r="AVT7" s="1">
        <v>136623943</v>
      </c>
      <c r="AVU7" s="1" t="s">
        <v>3009</v>
      </c>
      <c r="AVW7" s="1">
        <v>315</v>
      </c>
    </row>
    <row r="8" spans="1:1271" x14ac:dyDescent="0.3">
      <c r="A8" s="1" t="s">
        <v>3010</v>
      </c>
      <c r="B8" s="1" t="s">
        <v>3011</v>
      </c>
      <c r="C8" s="1" t="s">
        <v>3012</v>
      </c>
      <c r="D8" s="1" t="s">
        <v>2994</v>
      </c>
      <c r="E8" s="2">
        <v>356676102908909</v>
      </c>
      <c r="F8" s="1" t="s">
        <v>2994</v>
      </c>
      <c r="H8" s="2"/>
      <c r="I8" s="1" t="s">
        <v>1659</v>
      </c>
      <c r="J8" s="1" t="s">
        <v>2969</v>
      </c>
      <c r="K8" s="1" t="s">
        <v>2969</v>
      </c>
      <c r="N8" s="1" t="s">
        <v>1153</v>
      </c>
      <c r="O8" s="2">
        <v>1</v>
      </c>
      <c r="P8" s="2">
        <v>0</v>
      </c>
      <c r="Q8" s="2">
        <v>0</v>
      </c>
      <c r="R8" s="2">
        <v>0</v>
      </c>
      <c r="S8" s="2">
        <v>0</v>
      </c>
      <c r="U8" s="1" t="s">
        <v>1840</v>
      </c>
      <c r="W8" s="1" t="s">
        <v>1155</v>
      </c>
      <c r="X8" s="1" t="s">
        <v>1156</v>
      </c>
      <c r="AN8" s="1" t="s">
        <v>1155</v>
      </c>
      <c r="AO8" s="2">
        <v>400</v>
      </c>
      <c r="AP8" s="1" t="s">
        <v>2145</v>
      </c>
      <c r="AR8" s="1" t="s">
        <v>1801</v>
      </c>
      <c r="AS8" s="1" t="s">
        <v>2437</v>
      </c>
      <c r="AT8" s="1" t="s">
        <v>1156</v>
      </c>
      <c r="AU8" s="1" t="s">
        <v>1157</v>
      </c>
      <c r="AV8" s="1" t="s">
        <v>1191</v>
      </c>
      <c r="AW8" s="2">
        <v>1</v>
      </c>
      <c r="AX8" s="2">
        <v>0</v>
      </c>
      <c r="AY8" s="2">
        <v>0</v>
      </c>
      <c r="AZ8" s="2">
        <v>0</v>
      </c>
      <c r="BA8" s="2">
        <v>0</v>
      </c>
      <c r="BB8" s="2">
        <v>0</v>
      </c>
      <c r="BC8" s="2">
        <v>0</v>
      </c>
      <c r="BD8" s="2">
        <v>0</v>
      </c>
      <c r="BO8" s="1" t="s">
        <v>1158</v>
      </c>
      <c r="BP8" s="2">
        <v>0</v>
      </c>
      <c r="BQ8" s="2">
        <v>0</v>
      </c>
      <c r="BR8" s="2">
        <v>0</v>
      </c>
      <c r="BS8" s="2">
        <v>0</v>
      </c>
      <c r="BT8" s="2">
        <v>0</v>
      </c>
      <c r="BU8" s="2">
        <v>1</v>
      </c>
      <c r="BV8" s="2">
        <v>0</v>
      </c>
      <c r="BW8" s="2">
        <v>0</v>
      </c>
      <c r="BX8" s="2">
        <v>0</v>
      </c>
      <c r="BY8" s="2">
        <v>0</v>
      </c>
      <c r="BZ8" s="2">
        <v>0</v>
      </c>
      <c r="CA8" s="2">
        <v>0</v>
      </c>
      <c r="CC8" s="1" t="s">
        <v>1155</v>
      </c>
      <c r="DQ8" s="1" t="s">
        <v>1397</v>
      </c>
      <c r="DR8" s="2">
        <v>1</v>
      </c>
      <c r="DS8" s="2">
        <v>0</v>
      </c>
      <c r="DT8" s="2">
        <v>0</v>
      </c>
      <c r="DU8" s="2">
        <v>0</v>
      </c>
      <c r="DV8" s="2">
        <v>0</v>
      </c>
      <c r="DX8" s="1" t="s">
        <v>2376</v>
      </c>
      <c r="DY8" s="2">
        <v>0</v>
      </c>
      <c r="DZ8" s="2">
        <v>1</v>
      </c>
      <c r="EA8" s="2">
        <v>0</v>
      </c>
      <c r="EB8" s="2">
        <v>0</v>
      </c>
      <c r="EC8" s="2">
        <v>0</v>
      </c>
      <c r="ED8" s="2">
        <v>0</v>
      </c>
      <c r="EE8" s="2">
        <v>0</v>
      </c>
      <c r="EF8" s="2">
        <v>0</v>
      </c>
      <c r="EG8" s="2">
        <v>0</v>
      </c>
      <c r="EH8" s="2">
        <v>0</v>
      </c>
      <c r="EI8" s="2">
        <v>0</v>
      </c>
      <c r="EJ8" s="2">
        <v>0</v>
      </c>
      <c r="EK8" s="2">
        <v>0</v>
      </c>
      <c r="EM8" s="1" t="s">
        <v>1788</v>
      </c>
      <c r="EN8" s="2">
        <v>0</v>
      </c>
      <c r="EO8" s="2">
        <v>0</v>
      </c>
      <c r="EP8" s="2">
        <v>0</v>
      </c>
      <c r="EQ8" s="2">
        <v>0</v>
      </c>
      <c r="ER8" s="2">
        <v>0</v>
      </c>
      <c r="ES8" s="2">
        <v>0</v>
      </c>
      <c r="ET8" s="2">
        <v>1</v>
      </c>
      <c r="EU8" s="2">
        <v>1</v>
      </c>
      <c r="EV8" s="2">
        <v>0</v>
      </c>
      <c r="EW8" s="2">
        <v>0</v>
      </c>
      <c r="EX8" s="2">
        <v>0</v>
      </c>
      <c r="EY8" s="2">
        <v>0</v>
      </c>
      <c r="EZ8" s="2">
        <v>0</v>
      </c>
      <c r="FB8" s="1" t="s">
        <v>1155</v>
      </c>
      <c r="GI8" s="1" t="s">
        <v>1197</v>
      </c>
      <c r="GJ8" s="2">
        <v>0</v>
      </c>
      <c r="GK8" s="2">
        <v>1</v>
      </c>
      <c r="GL8" s="2">
        <v>0</v>
      </c>
      <c r="GM8" s="2">
        <v>0</v>
      </c>
      <c r="GN8" s="2">
        <v>0</v>
      </c>
      <c r="GO8" s="2">
        <v>0</v>
      </c>
      <c r="GP8" s="2">
        <v>0</v>
      </c>
      <c r="GQ8" s="2">
        <v>0</v>
      </c>
      <c r="GR8" s="2">
        <v>0</v>
      </c>
      <c r="GS8" s="2">
        <v>0</v>
      </c>
      <c r="GT8" s="2">
        <v>0</v>
      </c>
      <c r="GU8" s="2">
        <v>0</v>
      </c>
      <c r="GV8" s="2">
        <v>0</v>
      </c>
      <c r="AVT8" s="1">
        <v>136624052</v>
      </c>
      <c r="AVU8" s="1" t="s">
        <v>2729</v>
      </c>
      <c r="AVW8" s="1">
        <v>317</v>
      </c>
    </row>
    <row r="9" spans="1:1271" x14ac:dyDescent="0.3">
      <c r="A9" s="1" t="s">
        <v>3013</v>
      </c>
      <c r="B9" s="1" t="s">
        <v>3014</v>
      </c>
      <c r="C9" s="1" t="s">
        <v>3015</v>
      </c>
      <c r="D9" s="1" t="s">
        <v>2994</v>
      </c>
      <c r="E9" s="2">
        <v>356676102908909</v>
      </c>
      <c r="F9" s="1" t="s">
        <v>2994</v>
      </c>
      <c r="H9" s="2"/>
      <c r="I9" s="1" t="s">
        <v>1659</v>
      </c>
      <c r="J9" s="1" t="s">
        <v>2969</v>
      </c>
      <c r="K9" s="1" t="s">
        <v>2969</v>
      </c>
      <c r="N9" s="1" t="s">
        <v>1389</v>
      </c>
      <c r="O9" s="2">
        <v>0</v>
      </c>
      <c r="P9" s="2">
        <v>0</v>
      </c>
      <c r="Q9" s="2">
        <v>0</v>
      </c>
      <c r="R9" s="2">
        <v>1</v>
      </c>
      <c r="S9" s="2">
        <v>0</v>
      </c>
      <c r="OK9" s="1" t="s">
        <v>1390</v>
      </c>
      <c r="OM9" s="1" t="s">
        <v>2032</v>
      </c>
      <c r="ON9" s="1" t="s">
        <v>1156</v>
      </c>
      <c r="PL9" s="1" t="s">
        <v>1156</v>
      </c>
      <c r="PM9" s="2">
        <v>2</v>
      </c>
      <c r="PN9" s="1" t="s">
        <v>1156</v>
      </c>
      <c r="PO9" s="2">
        <v>1</v>
      </c>
      <c r="PP9" s="2">
        <v>1</v>
      </c>
      <c r="PQ9" s="1" t="s">
        <v>1156</v>
      </c>
      <c r="PR9" s="1" t="s">
        <v>1156</v>
      </c>
      <c r="PS9" s="1" t="s">
        <v>1391</v>
      </c>
      <c r="PU9" s="1" t="s">
        <v>1156</v>
      </c>
      <c r="PV9" s="1" t="s">
        <v>1156</v>
      </c>
      <c r="PW9" s="2">
        <v>2</v>
      </c>
      <c r="PX9" s="1" t="s">
        <v>1156</v>
      </c>
      <c r="PY9" s="1" t="s">
        <v>3016</v>
      </c>
      <c r="PZ9" s="1" t="s">
        <v>3017</v>
      </c>
      <c r="QA9" s="2">
        <v>1</v>
      </c>
      <c r="QB9" s="2">
        <v>1</v>
      </c>
      <c r="QC9" s="2">
        <v>1</v>
      </c>
      <c r="QD9" s="2">
        <v>1</v>
      </c>
      <c r="QE9" s="2">
        <v>1</v>
      </c>
      <c r="QF9" s="2">
        <v>1</v>
      </c>
      <c r="QG9" s="2">
        <v>1</v>
      </c>
      <c r="QH9" s="2">
        <v>1</v>
      </c>
      <c r="QI9" s="2">
        <v>0</v>
      </c>
      <c r="QJ9" s="2">
        <v>1</v>
      </c>
      <c r="QK9" s="2">
        <v>1</v>
      </c>
      <c r="QL9" s="2">
        <v>1</v>
      </c>
      <c r="QM9" s="2">
        <v>0</v>
      </c>
      <c r="QN9" s="2">
        <v>1</v>
      </c>
      <c r="QP9" s="1" t="s">
        <v>1156</v>
      </c>
      <c r="QQ9" s="1" t="s">
        <v>2193</v>
      </c>
      <c r="QR9" s="2">
        <v>1</v>
      </c>
      <c r="QS9" s="2">
        <v>1</v>
      </c>
      <c r="QT9" s="2">
        <v>0</v>
      </c>
      <c r="QU9" s="2">
        <v>0</v>
      </c>
      <c r="QV9" s="2">
        <v>1</v>
      </c>
      <c r="QW9" s="2">
        <v>1</v>
      </c>
      <c r="QY9" s="1" t="s">
        <v>1156</v>
      </c>
      <c r="QZ9" s="1" t="s">
        <v>3018</v>
      </c>
      <c r="RA9" s="2">
        <v>1</v>
      </c>
      <c r="RB9" s="2">
        <v>0</v>
      </c>
      <c r="RC9" s="2">
        <v>0</v>
      </c>
      <c r="RD9" s="2">
        <v>0</v>
      </c>
      <c r="RE9" s="2">
        <v>0</v>
      </c>
      <c r="RG9" s="2">
        <v>80</v>
      </c>
      <c r="RH9" s="1" t="s">
        <v>1156</v>
      </c>
      <c r="RI9" s="1" t="s">
        <v>1186</v>
      </c>
      <c r="RJ9" s="1" t="s">
        <v>2506</v>
      </c>
      <c r="RK9" s="2">
        <v>0</v>
      </c>
      <c r="RL9" s="2">
        <v>1</v>
      </c>
      <c r="RM9" s="2">
        <v>0</v>
      </c>
      <c r="RN9" s="2">
        <v>0</v>
      </c>
      <c r="RO9" s="2">
        <v>0</v>
      </c>
      <c r="RP9" s="2">
        <v>0</v>
      </c>
      <c r="RQ9" s="2">
        <v>0</v>
      </c>
      <c r="RR9" s="2">
        <v>0</v>
      </c>
      <c r="RS9" s="2">
        <v>0</v>
      </c>
      <c r="RT9" s="2">
        <v>0</v>
      </c>
      <c r="SE9" s="1" t="s">
        <v>1387</v>
      </c>
      <c r="SF9" s="58">
        <v>28</v>
      </c>
      <c r="SG9" s="2">
        <v>1</v>
      </c>
      <c r="SH9" s="2">
        <v>1</v>
      </c>
      <c r="SI9" s="2">
        <v>3</v>
      </c>
      <c r="SJ9" s="2">
        <v>0</v>
      </c>
      <c r="SK9" s="2">
        <v>2</v>
      </c>
      <c r="SL9" s="2">
        <v>12</v>
      </c>
      <c r="SM9" s="2">
        <v>8</v>
      </c>
      <c r="SN9" s="1" t="s">
        <v>1188</v>
      </c>
      <c r="SO9" s="2">
        <v>1</v>
      </c>
      <c r="SP9" s="2">
        <v>0</v>
      </c>
      <c r="SQ9" s="2">
        <v>0</v>
      </c>
      <c r="SR9" s="2">
        <v>0</v>
      </c>
      <c r="SS9" s="2">
        <v>0</v>
      </c>
      <c r="ST9" s="2">
        <v>0</v>
      </c>
      <c r="SU9" s="2">
        <v>0</v>
      </c>
      <c r="SV9" s="2">
        <v>0</v>
      </c>
      <c r="SW9" s="2">
        <v>0</v>
      </c>
      <c r="SX9" s="2">
        <v>0</v>
      </c>
      <c r="SY9" s="2">
        <v>0</v>
      </c>
      <c r="SZ9" s="2">
        <v>0</v>
      </c>
      <c r="TB9" s="1" t="s">
        <v>2102</v>
      </c>
      <c r="TC9" s="1" t="s">
        <v>3019</v>
      </c>
      <c r="TD9" s="2">
        <v>1</v>
      </c>
      <c r="TE9" s="2">
        <v>1</v>
      </c>
      <c r="TF9" s="2">
        <v>0</v>
      </c>
      <c r="TG9" s="2">
        <v>0</v>
      </c>
      <c r="TJ9" s="1" t="s">
        <v>1156</v>
      </c>
      <c r="TK9" s="1" t="s">
        <v>1186</v>
      </c>
      <c r="TL9" s="1" t="s">
        <v>3020</v>
      </c>
      <c r="TM9" s="2">
        <v>0</v>
      </c>
      <c r="TN9" s="2">
        <v>0</v>
      </c>
      <c r="TO9" s="2">
        <v>0</v>
      </c>
      <c r="TP9" s="2">
        <v>1</v>
      </c>
      <c r="TQ9" s="2">
        <v>0</v>
      </c>
      <c r="TR9" s="2">
        <v>0</v>
      </c>
      <c r="TS9" s="2">
        <v>0</v>
      </c>
      <c r="TT9" s="2">
        <v>0</v>
      </c>
      <c r="UF9" s="1" t="s">
        <v>1169</v>
      </c>
      <c r="UG9" s="2">
        <v>0</v>
      </c>
      <c r="UH9" s="2">
        <v>1</v>
      </c>
      <c r="UI9" s="2">
        <v>0</v>
      </c>
      <c r="UJ9" s="2">
        <v>0</v>
      </c>
      <c r="UK9" s="2">
        <v>0</v>
      </c>
      <c r="UM9" s="1" t="s">
        <v>1171</v>
      </c>
      <c r="UO9" s="1" t="s">
        <v>1156</v>
      </c>
      <c r="UP9" s="1" t="s">
        <v>3021</v>
      </c>
      <c r="UQ9" s="2">
        <v>0</v>
      </c>
      <c r="UR9" s="2">
        <v>0</v>
      </c>
      <c r="US9" s="2">
        <v>1</v>
      </c>
      <c r="UT9" s="2">
        <v>0</v>
      </c>
      <c r="UU9" s="2">
        <v>0</v>
      </c>
      <c r="UV9" s="2">
        <v>1</v>
      </c>
      <c r="UW9" s="2">
        <v>1</v>
      </c>
      <c r="UX9" s="2">
        <v>0</v>
      </c>
      <c r="UY9" s="2">
        <v>0</v>
      </c>
      <c r="UZ9" s="2">
        <v>0</v>
      </c>
      <c r="VA9" s="2">
        <v>0</v>
      </c>
      <c r="VB9" s="2">
        <v>0</v>
      </c>
      <c r="VC9" s="2">
        <v>0</v>
      </c>
      <c r="VD9" s="2">
        <v>0</v>
      </c>
      <c r="VE9" s="2">
        <v>0</v>
      </c>
      <c r="VF9" s="2">
        <v>0</v>
      </c>
      <c r="VH9" s="1" t="s">
        <v>3022</v>
      </c>
      <c r="VI9" s="2">
        <v>0</v>
      </c>
      <c r="VJ9" s="2">
        <v>0</v>
      </c>
      <c r="VK9" s="2">
        <v>0</v>
      </c>
      <c r="VL9" s="2">
        <v>0</v>
      </c>
      <c r="VM9" s="2">
        <v>1</v>
      </c>
      <c r="VN9" s="2">
        <v>1</v>
      </c>
      <c r="VO9" s="2">
        <v>1</v>
      </c>
      <c r="VP9" s="2">
        <v>0</v>
      </c>
      <c r="VQ9" s="2">
        <v>1</v>
      </c>
      <c r="VR9" s="2">
        <v>0</v>
      </c>
      <c r="VS9" s="2">
        <v>0</v>
      </c>
      <c r="VT9" s="2">
        <v>0</v>
      </c>
      <c r="VU9" s="2">
        <v>0</v>
      </c>
      <c r="VW9" s="1" t="s">
        <v>1156</v>
      </c>
      <c r="VX9" s="1" t="s">
        <v>1158</v>
      </c>
      <c r="VY9" s="2">
        <v>0</v>
      </c>
      <c r="VZ9" s="2">
        <v>0</v>
      </c>
      <c r="WA9" s="2">
        <v>0</v>
      </c>
      <c r="WB9" s="2">
        <v>0</v>
      </c>
      <c r="WC9" s="2">
        <v>1</v>
      </c>
      <c r="WD9" s="2">
        <v>0</v>
      </c>
      <c r="WE9" s="2">
        <v>0</v>
      </c>
      <c r="WG9" s="1" t="s">
        <v>1197</v>
      </c>
      <c r="WH9" s="2">
        <v>0</v>
      </c>
      <c r="WI9" s="2">
        <v>1</v>
      </c>
      <c r="WJ9" s="2">
        <v>0</v>
      </c>
      <c r="WK9" s="2">
        <v>0</v>
      </c>
      <c r="WL9" s="2">
        <v>0</v>
      </c>
      <c r="WM9" s="2">
        <v>0</v>
      </c>
      <c r="WN9" s="2">
        <v>0</v>
      </c>
      <c r="WO9" s="2">
        <v>0</v>
      </c>
      <c r="WP9" s="2">
        <v>0</v>
      </c>
      <c r="WQ9" s="2">
        <v>0</v>
      </c>
      <c r="WR9" s="2">
        <v>0</v>
      </c>
      <c r="WS9" s="2">
        <v>0</v>
      </c>
      <c r="WT9" s="2">
        <v>0</v>
      </c>
      <c r="WV9" s="1" t="s">
        <v>1155</v>
      </c>
      <c r="WW9" s="1" t="s">
        <v>3023</v>
      </c>
      <c r="WX9" s="2">
        <v>0</v>
      </c>
      <c r="WY9" s="2">
        <v>0</v>
      </c>
      <c r="WZ9" s="2">
        <v>1</v>
      </c>
      <c r="XA9" s="2">
        <v>0</v>
      </c>
      <c r="XB9" s="2">
        <v>0</v>
      </c>
      <c r="XD9" s="1" t="s">
        <v>3024</v>
      </c>
      <c r="XE9" s="2">
        <v>0</v>
      </c>
      <c r="XF9" s="2">
        <v>0</v>
      </c>
      <c r="XG9" s="2">
        <v>0</v>
      </c>
      <c r="XH9" s="2">
        <v>0</v>
      </c>
      <c r="XI9" s="2">
        <v>0</v>
      </c>
      <c r="XJ9" s="2">
        <v>1</v>
      </c>
      <c r="XK9" s="2">
        <v>0</v>
      </c>
      <c r="XL9" s="2">
        <v>0</v>
      </c>
      <c r="XM9" s="2">
        <v>0</v>
      </c>
      <c r="XN9" s="2">
        <v>0</v>
      </c>
      <c r="XO9" s="2">
        <v>0</v>
      </c>
      <c r="XP9" s="2">
        <v>0</v>
      </c>
      <c r="XQ9" s="2">
        <v>0</v>
      </c>
      <c r="XT9" s="1" t="s">
        <v>1156</v>
      </c>
      <c r="XU9" s="1" t="s">
        <v>3025</v>
      </c>
      <c r="XV9" s="2">
        <v>1</v>
      </c>
      <c r="XW9" s="2">
        <v>1</v>
      </c>
      <c r="XX9" s="2">
        <v>0</v>
      </c>
      <c r="XY9" s="2">
        <v>0</v>
      </c>
      <c r="XZ9" s="2">
        <v>0</v>
      </c>
      <c r="YA9" s="2">
        <v>0</v>
      </c>
      <c r="YB9" s="2">
        <v>0</v>
      </c>
      <c r="YC9" s="2">
        <v>0</v>
      </c>
      <c r="YE9" s="1" t="s">
        <v>1156</v>
      </c>
      <c r="YF9" s="1" t="s">
        <v>1156</v>
      </c>
      <c r="YG9" s="1" t="s">
        <v>1156</v>
      </c>
      <c r="YH9" s="1" t="s">
        <v>1156</v>
      </c>
      <c r="YI9" s="1" t="s">
        <v>3026</v>
      </c>
      <c r="YJ9" s="2">
        <v>0</v>
      </c>
      <c r="YK9" s="2">
        <v>1</v>
      </c>
      <c r="YL9" s="2">
        <v>1</v>
      </c>
      <c r="YM9" s="2">
        <v>1</v>
      </c>
      <c r="YN9" s="2">
        <v>1</v>
      </c>
      <c r="YO9" s="2">
        <v>1</v>
      </c>
      <c r="YP9" s="2">
        <v>0</v>
      </c>
      <c r="YQ9" s="2">
        <v>0</v>
      </c>
      <c r="YS9" s="1" t="s">
        <v>1156</v>
      </c>
      <c r="YT9" s="1" t="s">
        <v>1188</v>
      </c>
      <c r="YU9" s="2">
        <v>1</v>
      </c>
      <c r="YV9" s="2">
        <v>0</v>
      </c>
      <c r="YW9" s="2">
        <v>0</v>
      </c>
      <c r="YX9" s="2">
        <v>0</v>
      </c>
      <c r="YY9" s="2">
        <v>0</v>
      </c>
      <c r="ZA9" s="1" t="s">
        <v>1156</v>
      </c>
      <c r="ZB9" s="2">
        <v>20</v>
      </c>
      <c r="ZF9" s="1" t="s">
        <v>1156</v>
      </c>
      <c r="ZG9" s="2">
        <v>40</v>
      </c>
      <c r="ZK9" s="1" t="s">
        <v>1156</v>
      </c>
      <c r="ZL9" s="1" t="s">
        <v>1156</v>
      </c>
      <c r="ZM9" s="1" t="s">
        <v>1155</v>
      </c>
      <c r="ZN9" s="1" t="s">
        <v>1156</v>
      </c>
      <c r="ZO9" s="1" t="s">
        <v>1156</v>
      </c>
      <c r="ZP9" s="2">
        <v>4</v>
      </c>
      <c r="ZQ9" s="1" t="s">
        <v>1156</v>
      </c>
      <c r="ZR9" s="2">
        <v>4</v>
      </c>
      <c r="AVT9" s="1">
        <v>136624152</v>
      </c>
      <c r="AVU9" s="1" t="s">
        <v>3027</v>
      </c>
      <c r="AVW9" s="1">
        <v>320</v>
      </c>
    </row>
    <row r="10" spans="1:1271" x14ac:dyDescent="0.3">
      <c r="A10" s="1" t="s">
        <v>3028</v>
      </c>
      <c r="B10" s="1" t="s">
        <v>3029</v>
      </c>
      <c r="C10" s="1" t="s">
        <v>3030</v>
      </c>
      <c r="D10" s="1" t="s">
        <v>2968</v>
      </c>
      <c r="E10" s="2">
        <v>356676101957824</v>
      </c>
      <c r="F10" s="1" t="s">
        <v>2968</v>
      </c>
      <c r="H10" s="2"/>
      <c r="I10" s="1" t="s">
        <v>1659</v>
      </c>
      <c r="J10" s="1" t="s">
        <v>2969</v>
      </c>
      <c r="K10" s="1" t="s">
        <v>2969</v>
      </c>
      <c r="N10" s="1" t="s">
        <v>1153</v>
      </c>
      <c r="O10" s="2">
        <v>1</v>
      </c>
      <c r="P10" s="2">
        <v>0</v>
      </c>
      <c r="Q10" s="2">
        <v>0</v>
      </c>
      <c r="R10" s="2">
        <v>0</v>
      </c>
      <c r="S10" s="2">
        <v>0</v>
      </c>
      <c r="U10" s="1" t="s">
        <v>1840</v>
      </c>
      <c r="W10" s="1" t="s">
        <v>1155</v>
      </c>
      <c r="X10" s="1" t="s">
        <v>1708</v>
      </c>
      <c r="Y10" s="1" t="s">
        <v>2936</v>
      </c>
      <c r="AA10" s="1" t="s">
        <v>2292</v>
      </c>
      <c r="AN10" s="1" t="s">
        <v>1182</v>
      </c>
      <c r="AO10" s="2">
        <v>500</v>
      </c>
      <c r="AP10" s="1" t="s">
        <v>1196</v>
      </c>
      <c r="AR10" s="1" t="s">
        <v>1801</v>
      </c>
      <c r="AS10" s="1" t="s">
        <v>2260</v>
      </c>
      <c r="AT10" s="1" t="s">
        <v>1155</v>
      </c>
      <c r="BO10" s="1" t="s">
        <v>1158</v>
      </c>
      <c r="BP10" s="2">
        <v>0</v>
      </c>
      <c r="BQ10" s="2">
        <v>0</v>
      </c>
      <c r="BR10" s="2">
        <v>0</v>
      </c>
      <c r="BS10" s="2">
        <v>0</v>
      </c>
      <c r="BT10" s="2">
        <v>0</v>
      </c>
      <c r="BU10" s="2">
        <v>1</v>
      </c>
      <c r="BV10" s="2">
        <v>0</v>
      </c>
      <c r="BW10" s="2">
        <v>0</v>
      </c>
      <c r="BX10" s="2">
        <v>0</v>
      </c>
      <c r="BY10" s="2">
        <v>0</v>
      </c>
      <c r="BZ10" s="2">
        <v>0</v>
      </c>
      <c r="CA10" s="2">
        <v>0</v>
      </c>
      <c r="CC10" s="1" t="s">
        <v>1155</v>
      </c>
      <c r="DQ10" s="1" t="s">
        <v>1397</v>
      </c>
      <c r="DR10" s="2">
        <v>1</v>
      </c>
      <c r="DS10" s="2">
        <v>0</v>
      </c>
      <c r="DT10" s="2">
        <v>0</v>
      </c>
      <c r="DU10" s="2">
        <v>0</v>
      </c>
      <c r="DV10" s="2">
        <v>0</v>
      </c>
      <c r="DX10" s="1" t="s">
        <v>2369</v>
      </c>
      <c r="DY10" s="2">
        <v>0</v>
      </c>
      <c r="DZ10" s="2">
        <v>0</v>
      </c>
      <c r="EA10" s="2">
        <v>0</v>
      </c>
      <c r="EB10" s="2">
        <v>0</v>
      </c>
      <c r="EC10" s="2">
        <v>0</v>
      </c>
      <c r="ED10" s="2">
        <v>0</v>
      </c>
      <c r="EE10" s="2">
        <v>0</v>
      </c>
      <c r="EF10" s="2">
        <v>0</v>
      </c>
      <c r="EG10" s="2">
        <v>1</v>
      </c>
      <c r="EH10" s="2">
        <v>0</v>
      </c>
      <c r="EI10" s="2">
        <v>0</v>
      </c>
      <c r="EJ10" s="2">
        <v>0</v>
      </c>
      <c r="EK10" s="2">
        <v>0</v>
      </c>
      <c r="EM10" s="1" t="s">
        <v>1194</v>
      </c>
      <c r="EN10" s="2">
        <v>0</v>
      </c>
      <c r="EO10" s="2">
        <v>0</v>
      </c>
      <c r="EP10" s="2">
        <v>0</v>
      </c>
      <c r="EQ10" s="2">
        <v>0</v>
      </c>
      <c r="ER10" s="2">
        <v>1</v>
      </c>
      <c r="ES10" s="2">
        <v>0</v>
      </c>
      <c r="ET10" s="2">
        <v>0</v>
      </c>
      <c r="EU10" s="2">
        <v>0</v>
      </c>
      <c r="EV10" s="2">
        <v>0</v>
      </c>
      <c r="EW10" s="2">
        <v>0</v>
      </c>
      <c r="EX10" s="2">
        <v>0</v>
      </c>
      <c r="EY10" s="2">
        <v>0</v>
      </c>
      <c r="EZ10" s="2">
        <v>0</v>
      </c>
      <c r="FB10" s="1" t="s">
        <v>1155</v>
      </c>
      <c r="GI10" s="1" t="s">
        <v>1402</v>
      </c>
      <c r="GJ10" s="2">
        <v>0</v>
      </c>
      <c r="GK10" s="2">
        <v>0</v>
      </c>
      <c r="GL10" s="2">
        <v>0</v>
      </c>
      <c r="GM10" s="2">
        <v>0</v>
      </c>
      <c r="GN10" s="2">
        <v>0</v>
      </c>
      <c r="GO10" s="2">
        <v>0</v>
      </c>
      <c r="GP10" s="2">
        <v>0</v>
      </c>
      <c r="GQ10" s="2">
        <v>1</v>
      </c>
      <c r="GR10" s="2">
        <v>0</v>
      </c>
      <c r="GS10" s="2">
        <v>0</v>
      </c>
      <c r="GT10" s="2">
        <v>0</v>
      </c>
      <c r="GU10" s="2">
        <v>0</v>
      </c>
      <c r="GV10" s="2">
        <v>0</v>
      </c>
      <c r="AVT10" s="1">
        <v>136624178</v>
      </c>
      <c r="AVU10" s="1" t="s">
        <v>3031</v>
      </c>
      <c r="AVW10" s="1">
        <v>322</v>
      </c>
    </row>
    <row r="11" spans="1:1271" x14ac:dyDescent="0.3">
      <c r="A11" s="1" t="s">
        <v>3032</v>
      </c>
      <c r="B11" s="1" t="s">
        <v>3033</v>
      </c>
      <c r="C11" s="1" t="s">
        <v>3034</v>
      </c>
      <c r="D11" s="1" t="s">
        <v>2968</v>
      </c>
      <c r="E11" s="2">
        <v>356676102903926</v>
      </c>
      <c r="F11" s="1" t="s">
        <v>2968</v>
      </c>
      <c r="H11" s="2"/>
      <c r="I11" s="1" t="s">
        <v>1659</v>
      </c>
      <c r="J11" s="1" t="s">
        <v>2969</v>
      </c>
      <c r="K11" s="1" t="s">
        <v>2969</v>
      </c>
      <c r="N11" s="1" t="s">
        <v>1153</v>
      </c>
      <c r="O11" s="2">
        <v>1</v>
      </c>
      <c r="P11" s="2">
        <v>0</v>
      </c>
      <c r="Q11" s="2">
        <v>0</v>
      </c>
      <c r="R11" s="2">
        <v>0</v>
      </c>
      <c r="S11" s="2">
        <v>0</v>
      </c>
      <c r="U11" s="1" t="s">
        <v>1840</v>
      </c>
      <c r="W11" s="1" t="s">
        <v>1155</v>
      </c>
      <c r="X11" s="1" t="s">
        <v>1708</v>
      </c>
      <c r="Y11" s="1" t="s">
        <v>2291</v>
      </c>
      <c r="AA11" s="1" t="s">
        <v>1671</v>
      </c>
      <c r="AN11" s="1" t="s">
        <v>1182</v>
      </c>
      <c r="AO11" s="2">
        <v>230</v>
      </c>
      <c r="AP11" s="1" t="s">
        <v>2559</v>
      </c>
      <c r="AR11" s="1" t="s">
        <v>1801</v>
      </c>
      <c r="AS11" s="1" t="s">
        <v>1833</v>
      </c>
      <c r="AT11" s="1" t="s">
        <v>1156</v>
      </c>
      <c r="AU11" s="1" t="s">
        <v>1186</v>
      </c>
      <c r="AV11" s="1" t="s">
        <v>2506</v>
      </c>
      <c r="AW11" s="2">
        <v>0</v>
      </c>
      <c r="AX11" s="2">
        <v>0</v>
      </c>
      <c r="AY11" s="2">
        <v>0</v>
      </c>
      <c r="AZ11" s="2">
        <v>1</v>
      </c>
      <c r="BA11" s="2">
        <v>0</v>
      </c>
      <c r="BB11" s="2">
        <v>0</v>
      </c>
      <c r="BC11" s="2">
        <v>0</v>
      </c>
      <c r="BD11" s="2">
        <v>0</v>
      </c>
      <c r="BO11" s="1" t="s">
        <v>2727</v>
      </c>
      <c r="BP11" s="2">
        <v>0</v>
      </c>
      <c r="BQ11" s="2">
        <v>0</v>
      </c>
      <c r="BR11" s="2">
        <v>0</v>
      </c>
      <c r="BS11" s="2">
        <v>0</v>
      </c>
      <c r="BT11" s="2">
        <v>1</v>
      </c>
      <c r="BU11" s="2">
        <v>1</v>
      </c>
      <c r="BV11" s="2">
        <v>0</v>
      </c>
      <c r="BW11" s="2">
        <v>0</v>
      </c>
      <c r="BX11" s="2">
        <v>0</v>
      </c>
      <c r="BY11" s="2">
        <v>0</v>
      </c>
      <c r="BZ11" s="2">
        <v>0</v>
      </c>
      <c r="CA11" s="2">
        <v>0</v>
      </c>
      <c r="CB11" s="57" t="s">
        <v>3351</v>
      </c>
      <c r="CC11" s="1" t="s">
        <v>1155</v>
      </c>
      <c r="DQ11" s="1" t="s">
        <v>1164</v>
      </c>
      <c r="DR11" s="2">
        <v>0</v>
      </c>
      <c r="DS11" s="2">
        <v>0</v>
      </c>
      <c r="DT11" s="2">
        <v>0</v>
      </c>
      <c r="DU11" s="2">
        <v>0</v>
      </c>
      <c r="DV11" s="2">
        <v>1</v>
      </c>
      <c r="DX11" s="1" t="s">
        <v>3035</v>
      </c>
      <c r="DY11" s="2">
        <v>0</v>
      </c>
      <c r="DZ11" s="2">
        <v>1</v>
      </c>
      <c r="EA11" s="2">
        <v>1</v>
      </c>
      <c r="EB11" s="2">
        <v>0</v>
      </c>
      <c r="EC11" s="2">
        <v>0</v>
      </c>
      <c r="ED11" s="2">
        <v>0</v>
      </c>
      <c r="EE11" s="2">
        <v>0</v>
      </c>
      <c r="EF11" s="2">
        <v>0</v>
      </c>
      <c r="EG11" s="2">
        <v>0</v>
      </c>
      <c r="EH11" s="2">
        <v>0</v>
      </c>
      <c r="EI11" s="2">
        <v>0</v>
      </c>
      <c r="EJ11" s="2">
        <v>0</v>
      </c>
      <c r="EK11" s="2">
        <v>0</v>
      </c>
      <c r="EM11" s="1" t="s">
        <v>1164</v>
      </c>
      <c r="EN11" s="2">
        <v>0</v>
      </c>
      <c r="EO11" s="2">
        <v>0</v>
      </c>
      <c r="EP11" s="2">
        <v>0</v>
      </c>
      <c r="EQ11" s="2">
        <v>0</v>
      </c>
      <c r="ER11" s="2">
        <v>0</v>
      </c>
      <c r="ES11" s="2">
        <v>0</v>
      </c>
      <c r="ET11" s="2">
        <v>0</v>
      </c>
      <c r="EU11" s="2">
        <v>0</v>
      </c>
      <c r="EV11" s="2">
        <v>0</v>
      </c>
      <c r="EW11" s="2">
        <v>1</v>
      </c>
      <c r="EX11" s="2">
        <v>0</v>
      </c>
      <c r="EY11" s="2">
        <v>0</v>
      </c>
      <c r="EZ11" s="2">
        <v>0</v>
      </c>
      <c r="FB11" s="1" t="s">
        <v>1156</v>
      </c>
      <c r="FC11" s="1" t="s">
        <v>2305</v>
      </c>
      <c r="FD11" s="2">
        <v>0</v>
      </c>
      <c r="FE11" s="2">
        <v>0</v>
      </c>
      <c r="FF11" s="2">
        <v>0</v>
      </c>
      <c r="FG11" s="2">
        <v>1</v>
      </c>
      <c r="FH11" s="2">
        <v>0</v>
      </c>
      <c r="FI11" s="2">
        <v>0</v>
      </c>
      <c r="FJ11" s="2">
        <v>0</v>
      </c>
      <c r="FL11" s="1" t="s">
        <v>3036</v>
      </c>
      <c r="FM11" s="2">
        <v>0</v>
      </c>
      <c r="FN11" s="2">
        <v>0</v>
      </c>
      <c r="FO11" s="2">
        <v>1</v>
      </c>
      <c r="FP11" s="2">
        <v>0</v>
      </c>
      <c r="FQ11" s="2">
        <v>1</v>
      </c>
      <c r="FR11" s="2">
        <v>0</v>
      </c>
      <c r="FS11" s="2">
        <v>0</v>
      </c>
      <c r="FT11" s="2">
        <v>0</v>
      </c>
      <c r="FU11" s="2">
        <v>0</v>
      </c>
      <c r="FV11" s="2">
        <v>0</v>
      </c>
      <c r="FW11" s="2">
        <v>0</v>
      </c>
      <c r="FX11" s="2">
        <v>0</v>
      </c>
      <c r="FY11" s="2">
        <v>0</v>
      </c>
      <c r="GA11" s="1" t="s">
        <v>1156</v>
      </c>
      <c r="GI11" s="1" t="s">
        <v>1517</v>
      </c>
      <c r="GJ11" s="2">
        <v>0</v>
      </c>
      <c r="GK11" s="2">
        <v>0</v>
      </c>
      <c r="GL11" s="2">
        <v>0</v>
      </c>
      <c r="GM11" s="2">
        <v>0</v>
      </c>
      <c r="GN11" s="2">
        <v>0</v>
      </c>
      <c r="GO11" s="2">
        <v>0</v>
      </c>
      <c r="GP11" s="2">
        <v>0</v>
      </c>
      <c r="GQ11" s="2">
        <v>0</v>
      </c>
      <c r="GR11" s="2">
        <v>1</v>
      </c>
      <c r="GS11" s="2">
        <v>0</v>
      </c>
      <c r="GT11" s="2">
        <v>0</v>
      </c>
      <c r="GU11" s="2">
        <v>0</v>
      </c>
      <c r="GV11" s="2">
        <v>0</v>
      </c>
      <c r="AVT11" s="1">
        <v>136624563</v>
      </c>
      <c r="AVU11" s="1" t="s">
        <v>3037</v>
      </c>
      <c r="AVW11" s="1">
        <v>332</v>
      </c>
    </row>
    <row r="12" spans="1:1271" x14ac:dyDescent="0.3">
      <c r="A12" s="1" t="s">
        <v>3038</v>
      </c>
      <c r="B12" s="1" t="s">
        <v>3039</v>
      </c>
      <c r="C12" s="1" t="s">
        <v>3040</v>
      </c>
      <c r="D12" s="1" t="s">
        <v>2968</v>
      </c>
      <c r="E12" s="2">
        <v>356676102903926</v>
      </c>
      <c r="F12" s="1" t="s">
        <v>2968</v>
      </c>
      <c r="H12" s="2"/>
      <c r="I12" s="1" t="s">
        <v>1659</v>
      </c>
      <c r="J12" s="1" t="s">
        <v>2969</v>
      </c>
      <c r="K12" s="1" t="s">
        <v>2969</v>
      </c>
      <c r="N12" s="1" t="s">
        <v>1153</v>
      </c>
      <c r="O12" s="2">
        <v>1</v>
      </c>
      <c r="P12" s="2">
        <v>0</v>
      </c>
      <c r="Q12" s="2">
        <v>0</v>
      </c>
      <c r="R12" s="2">
        <v>0</v>
      </c>
      <c r="S12" s="2">
        <v>0</v>
      </c>
      <c r="U12" s="1" t="s">
        <v>1840</v>
      </c>
      <c r="W12" s="1" t="s">
        <v>1155</v>
      </c>
      <c r="X12" s="1" t="s">
        <v>1156</v>
      </c>
      <c r="AN12" s="1" t="s">
        <v>1182</v>
      </c>
      <c r="AO12" s="2">
        <v>100</v>
      </c>
      <c r="AP12" s="1" t="s">
        <v>1398</v>
      </c>
      <c r="AR12" s="1" t="s">
        <v>1801</v>
      </c>
      <c r="AS12" s="1" t="s">
        <v>1833</v>
      </c>
      <c r="AT12" s="1" t="s">
        <v>1156</v>
      </c>
      <c r="AU12" s="1" t="s">
        <v>1157</v>
      </c>
      <c r="AV12" s="1" t="s">
        <v>2484</v>
      </c>
      <c r="AW12" s="2">
        <v>0</v>
      </c>
      <c r="AX12" s="2">
        <v>0</v>
      </c>
      <c r="AY12" s="2">
        <v>1</v>
      </c>
      <c r="AZ12" s="2">
        <v>0</v>
      </c>
      <c r="BA12" s="2">
        <v>0</v>
      </c>
      <c r="BB12" s="2">
        <v>0</v>
      </c>
      <c r="BC12" s="2">
        <v>0</v>
      </c>
      <c r="BD12" s="2">
        <v>0</v>
      </c>
      <c r="BO12" s="1" t="s">
        <v>1158</v>
      </c>
      <c r="BP12" s="2">
        <v>0</v>
      </c>
      <c r="BQ12" s="2">
        <v>0</v>
      </c>
      <c r="BR12" s="2">
        <v>0</v>
      </c>
      <c r="BS12" s="2">
        <v>0</v>
      </c>
      <c r="BT12" s="2">
        <v>0</v>
      </c>
      <c r="BU12" s="2">
        <v>1</v>
      </c>
      <c r="BV12" s="2">
        <v>0</v>
      </c>
      <c r="BW12" s="2">
        <v>0</v>
      </c>
      <c r="BX12" s="2">
        <v>0</v>
      </c>
      <c r="BY12" s="2">
        <v>0</v>
      </c>
      <c r="BZ12" s="2">
        <v>0</v>
      </c>
      <c r="CA12" s="2">
        <v>0</v>
      </c>
      <c r="CC12" s="1" t="s">
        <v>1155</v>
      </c>
      <c r="DQ12" s="1" t="s">
        <v>1169</v>
      </c>
      <c r="DR12" s="2">
        <v>0</v>
      </c>
      <c r="DS12" s="2">
        <v>1</v>
      </c>
      <c r="DT12" s="2">
        <v>0</v>
      </c>
      <c r="DU12" s="2">
        <v>0</v>
      </c>
      <c r="DV12" s="2">
        <v>0</v>
      </c>
      <c r="DX12" s="1" t="s">
        <v>3041</v>
      </c>
      <c r="DY12" s="2">
        <v>0</v>
      </c>
      <c r="DZ12" s="2">
        <v>0</v>
      </c>
      <c r="EA12" s="2">
        <v>1</v>
      </c>
      <c r="EB12" s="2">
        <v>0</v>
      </c>
      <c r="EC12" s="2">
        <v>0</v>
      </c>
      <c r="ED12" s="2">
        <v>0</v>
      </c>
      <c r="EE12" s="2">
        <v>0</v>
      </c>
      <c r="EF12" s="2">
        <v>0</v>
      </c>
      <c r="EG12" s="2">
        <v>1</v>
      </c>
      <c r="EH12" s="2">
        <v>0</v>
      </c>
      <c r="EI12" s="2">
        <v>0</v>
      </c>
      <c r="EJ12" s="2">
        <v>0</v>
      </c>
      <c r="EK12" s="2">
        <v>0</v>
      </c>
      <c r="EM12" s="1" t="s">
        <v>3042</v>
      </c>
      <c r="EN12" s="2">
        <v>0</v>
      </c>
      <c r="EO12" s="2">
        <v>0</v>
      </c>
      <c r="EP12" s="2">
        <v>0</v>
      </c>
      <c r="EQ12" s="2">
        <v>1</v>
      </c>
      <c r="ER12" s="2">
        <v>1</v>
      </c>
      <c r="ES12" s="2">
        <v>0</v>
      </c>
      <c r="ET12" s="2">
        <v>0</v>
      </c>
      <c r="EU12" s="2">
        <v>1</v>
      </c>
      <c r="EV12" s="2">
        <v>1</v>
      </c>
      <c r="EW12" s="2">
        <v>0</v>
      </c>
      <c r="EX12" s="2">
        <v>0</v>
      </c>
      <c r="EY12" s="2">
        <v>0</v>
      </c>
      <c r="EZ12" s="2">
        <v>0</v>
      </c>
      <c r="FB12" s="1" t="s">
        <v>1155</v>
      </c>
      <c r="GI12" s="1" t="s">
        <v>3043</v>
      </c>
      <c r="GJ12" s="2">
        <v>0</v>
      </c>
      <c r="GK12" s="2">
        <v>0</v>
      </c>
      <c r="GL12" s="2">
        <v>0</v>
      </c>
      <c r="GM12" s="2">
        <v>0</v>
      </c>
      <c r="GN12" s="2">
        <v>1</v>
      </c>
      <c r="GO12" s="2">
        <v>0</v>
      </c>
      <c r="GP12" s="2">
        <v>1</v>
      </c>
      <c r="GQ12" s="2">
        <v>0</v>
      </c>
      <c r="GR12" s="2">
        <v>0</v>
      </c>
      <c r="GS12" s="2">
        <v>0</v>
      </c>
      <c r="GT12" s="2">
        <v>0</v>
      </c>
      <c r="GU12" s="2">
        <v>0</v>
      </c>
      <c r="GV12" s="2">
        <v>0</v>
      </c>
      <c r="AVT12" s="1">
        <v>136624607</v>
      </c>
      <c r="AVU12" s="1" t="s">
        <v>3044</v>
      </c>
      <c r="AVW12" s="1">
        <v>334</v>
      </c>
    </row>
    <row r="13" spans="1:1271" x14ac:dyDescent="0.3">
      <c r="A13" s="1" t="s">
        <v>3045</v>
      </c>
      <c r="B13" s="1" t="s">
        <v>3046</v>
      </c>
      <c r="C13" s="1" t="s">
        <v>3047</v>
      </c>
      <c r="D13" s="1" t="s">
        <v>2968</v>
      </c>
      <c r="E13" s="2">
        <v>356676102903926</v>
      </c>
      <c r="F13" s="1" t="s">
        <v>2968</v>
      </c>
      <c r="H13" s="2"/>
      <c r="I13" s="1" t="s">
        <v>1659</v>
      </c>
      <c r="J13" s="1" t="s">
        <v>2969</v>
      </c>
      <c r="K13" s="1" t="s">
        <v>2969</v>
      </c>
      <c r="N13" s="1" t="s">
        <v>1170</v>
      </c>
      <c r="O13" s="2">
        <v>0</v>
      </c>
      <c r="P13" s="2">
        <v>0</v>
      </c>
      <c r="Q13" s="2">
        <v>1</v>
      </c>
      <c r="R13" s="2">
        <v>0</v>
      </c>
      <c r="S13" s="2">
        <v>0</v>
      </c>
      <c r="ZS13" s="57" t="s">
        <v>3384</v>
      </c>
      <c r="ZT13" s="2" t="s">
        <v>1171</v>
      </c>
      <c r="ZV13" s="1" t="s">
        <v>1172</v>
      </c>
      <c r="ZX13" s="1" t="s">
        <v>1156</v>
      </c>
      <c r="ABE13" s="1" t="s">
        <v>1173</v>
      </c>
      <c r="ABF13" s="2">
        <v>1</v>
      </c>
      <c r="ABG13" s="2">
        <v>0</v>
      </c>
      <c r="ABH13" s="2">
        <v>0</v>
      </c>
      <c r="ABI13" s="2">
        <v>0</v>
      </c>
      <c r="ABJ13" s="2">
        <v>0</v>
      </c>
      <c r="ABL13" s="1" t="s">
        <v>1188</v>
      </c>
      <c r="ABM13" s="2">
        <v>1</v>
      </c>
      <c r="ABN13" s="2">
        <v>0</v>
      </c>
      <c r="ABO13" s="2">
        <v>0</v>
      </c>
      <c r="ABP13" s="2">
        <v>0</v>
      </c>
      <c r="ABQ13" s="2">
        <v>0</v>
      </c>
      <c r="ABR13" s="2">
        <v>0</v>
      </c>
      <c r="ABS13" s="2">
        <v>0</v>
      </c>
      <c r="ABT13" s="2">
        <v>0</v>
      </c>
      <c r="ABU13" s="2">
        <v>0</v>
      </c>
      <c r="ABV13" s="2">
        <v>0</v>
      </c>
      <c r="ABW13" s="2">
        <v>0</v>
      </c>
      <c r="ABX13" s="2">
        <v>0</v>
      </c>
      <c r="ABZ13" s="2">
        <v>10</v>
      </c>
      <c r="ACA13" s="1" t="s">
        <v>1156</v>
      </c>
      <c r="ACB13" s="2">
        <v>6</v>
      </c>
      <c r="ACC13" s="1" t="s">
        <v>1156</v>
      </c>
      <c r="ACD13" s="2">
        <v>3</v>
      </c>
      <c r="ACE13" s="2">
        <v>3</v>
      </c>
      <c r="ACF13" s="2">
        <v>3</v>
      </c>
      <c r="ACG13" s="2">
        <v>6</v>
      </c>
      <c r="ACI13" s="1" t="s">
        <v>1155</v>
      </c>
      <c r="ACJ13" s="1" t="s">
        <v>1156</v>
      </c>
      <c r="ACK13" s="1" t="s">
        <v>1840</v>
      </c>
      <c r="ACM13" s="1" t="s">
        <v>1155</v>
      </c>
      <c r="ACN13" s="2">
        <v>1035</v>
      </c>
      <c r="ACO13" s="2">
        <v>372</v>
      </c>
      <c r="ACP13" s="2">
        <v>663</v>
      </c>
      <c r="ACQ13" s="2">
        <v>663</v>
      </c>
      <c r="ACR13" s="2">
        <v>1035</v>
      </c>
      <c r="ACT13" s="2">
        <v>5</v>
      </c>
      <c r="ACU13" s="2">
        <v>14</v>
      </c>
      <c r="ACV13" s="1" t="s">
        <v>1155</v>
      </c>
      <c r="ADQ13" s="2">
        <v>2</v>
      </c>
      <c r="ADR13" s="2">
        <v>0</v>
      </c>
      <c r="ADS13" s="2">
        <v>2</v>
      </c>
      <c r="ADT13" s="2">
        <v>2</v>
      </c>
      <c r="ADU13" s="2">
        <v>2</v>
      </c>
      <c r="ADW13" s="1" t="s">
        <v>1155</v>
      </c>
      <c r="AEO13" s="2">
        <v>0</v>
      </c>
      <c r="AEP13" s="2">
        <v>0</v>
      </c>
      <c r="AEQ13" s="2">
        <v>0</v>
      </c>
      <c r="AER13" s="2">
        <v>0</v>
      </c>
      <c r="AES13" s="2">
        <v>0</v>
      </c>
      <c r="AEU13" s="1" t="s">
        <v>1155</v>
      </c>
      <c r="AFL13" s="2">
        <v>5</v>
      </c>
      <c r="AFM13" s="2">
        <v>0</v>
      </c>
      <c r="AFN13" s="2">
        <v>5</v>
      </c>
      <c r="AFO13" s="2">
        <v>5</v>
      </c>
      <c r="AFP13" s="2">
        <v>5</v>
      </c>
      <c r="AFR13" s="1" t="s">
        <v>1155</v>
      </c>
      <c r="AGH13" s="1" t="s">
        <v>1156</v>
      </c>
      <c r="AGI13" s="1" t="s">
        <v>1187</v>
      </c>
      <c r="AGJ13" s="1" t="s">
        <v>1156</v>
      </c>
      <c r="AGK13" s="90">
        <v>1100</v>
      </c>
      <c r="AGL13" s="1" t="s">
        <v>3048</v>
      </c>
      <c r="AGM13" s="2">
        <v>0</v>
      </c>
      <c r="AGN13" s="2">
        <v>0</v>
      </c>
      <c r="AGO13" s="2">
        <v>0</v>
      </c>
      <c r="AGP13" s="2">
        <v>1</v>
      </c>
      <c r="AGQ13" s="2">
        <v>0</v>
      </c>
      <c r="AGR13" s="2">
        <v>0</v>
      </c>
      <c r="AGT13" s="1" t="s">
        <v>1155</v>
      </c>
      <c r="AHQ13" s="1" t="s">
        <v>1169</v>
      </c>
      <c r="AHR13" s="2">
        <v>0</v>
      </c>
      <c r="AHS13" s="2">
        <v>1</v>
      </c>
      <c r="AHT13" s="2">
        <v>0</v>
      </c>
      <c r="AHU13" s="2">
        <v>0</v>
      </c>
      <c r="AHV13" s="2">
        <v>0</v>
      </c>
      <c r="AHX13" s="1" t="s">
        <v>3049</v>
      </c>
      <c r="AHY13" s="2">
        <v>1</v>
      </c>
      <c r="AHZ13" s="2">
        <v>1</v>
      </c>
      <c r="AIA13" s="2">
        <v>1</v>
      </c>
      <c r="AIB13" s="2">
        <v>1</v>
      </c>
      <c r="AIC13" s="2">
        <v>0</v>
      </c>
      <c r="AID13" s="2">
        <v>1</v>
      </c>
      <c r="AIE13" s="2">
        <v>0</v>
      </c>
      <c r="AIF13" s="2">
        <v>0</v>
      </c>
      <c r="AIG13" s="2">
        <v>0</v>
      </c>
      <c r="AIH13" s="2">
        <v>0</v>
      </c>
      <c r="AII13" s="2">
        <v>0</v>
      </c>
      <c r="AIK13" s="1" t="s">
        <v>2305</v>
      </c>
      <c r="AIL13" s="2">
        <v>0</v>
      </c>
      <c r="AIM13" s="2">
        <v>0</v>
      </c>
      <c r="AIN13" s="2">
        <v>1</v>
      </c>
      <c r="AIO13" s="2">
        <v>0</v>
      </c>
      <c r="AIP13" s="2">
        <v>0</v>
      </c>
      <c r="AIQ13" s="2">
        <v>0</v>
      </c>
      <c r="AIR13" s="2">
        <v>0</v>
      </c>
      <c r="AIS13" s="2">
        <v>0</v>
      </c>
      <c r="AIT13" s="2">
        <v>0</v>
      </c>
      <c r="AIU13" s="2">
        <v>0</v>
      </c>
      <c r="AIV13" s="2">
        <v>0</v>
      </c>
      <c r="AIW13" s="2">
        <v>0</v>
      </c>
      <c r="AIX13" s="2">
        <v>0</v>
      </c>
      <c r="AIZ13" s="1" t="s">
        <v>1156</v>
      </c>
      <c r="AJA13" s="1" t="s">
        <v>2305</v>
      </c>
      <c r="AJB13" s="2">
        <v>0</v>
      </c>
      <c r="AJC13" s="2">
        <v>0</v>
      </c>
      <c r="AJD13" s="2">
        <v>0</v>
      </c>
      <c r="AJE13" s="2">
        <v>1</v>
      </c>
      <c r="AJF13" s="2">
        <v>0</v>
      </c>
      <c r="AJG13" s="2">
        <v>0</v>
      </c>
      <c r="AJH13" s="2">
        <v>0</v>
      </c>
      <c r="AJJ13" s="1" t="s">
        <v>3050</v>
      </c>
      <c r="AJK13" s="2">
        <v>1</v>
      </c>
      <c r="AJL13" s="2">
        <v>1</v>
      </c>
      <c r="AJM13" s="2">
        <v>0</v>
      </c>
      <c r="AJN13" s="2">
        <v>0</v>
      </c>
      <c r="AJO13" s="2">
        <v>0</v>
      </c>
      <c r="AJP13" s="2">
        <v>0</v>
      </c>
      <c r="AJQ13" s="2">
        <v>0</v>
      </c>
      <c r="AJR13" s="2">
        <v>0</v>
      </c>
      <c r="AJS13" s="2">
        <v>0</v>
      </c>
      <c r="AJT13" s="2">
        <v>0</v>
      </c>
      <c r="AJU13" s="2">
        <v>0</v>
      </c>
      <c r="AJV13" s="2">
        <v>0</v>
      </c>
      <c r="AJX13" s="1" t="s">
        <v>1155</v>
      </c>
      <c r="AJY13" s="1" t="s">
        <v>1180</v>
      </c>
      <c r="AJZ13" s="2">
        <v>1</v>
      </c>
      <c r="AKA13" s="2">
        <v>0</v>
      </c>
      <c r="AKB13" s="2">
        <v>0</v>
      </c>
      <c r="AKC13" s="2">
        <v>0</v>
      </c>
      <c r="AKD13" s="2">
        <v>0</v>
      </c>
      <c r="AKF13" s="1" t="s">
        <v>3051</v>
      </c>
      <c r="AKG13" s="2">
        <v>0</v>
      </c>
      <c r="AKH13" s="2">
        <v>1</v>
      </c>
      <c r="AKI13" s="2">
        <v>1</v>
      </c>
      <c r="AKJ13" s="2">
        <v>1</v>
      </c>
      <c r="AKK13" s="2">
        <v>1</v>
      </c>
      <c r="AKL13" s="2">
        <v>0</v>
      </c>
      <c r="AKM13" s="2">
        <v>0</v>
      </c>
      <c r="AKN13" s="2">
        <v>0</v>
      </c>
      <c r="AKO13" s="2">
        <v>0</v>
      </c>
      <c r="AKP13" s="2">
        <v>0</v>
      </c>
      <c r="AKQ13" s="2">
        <v>0</v>
      </c>
      <c r="AKR13" s="2">
        <v>0</v>
      </c>
      <c r="AVT13" s="1">
        <v>136624696</v>
      </c>
      <c r="AVU13" s="1" t="s">
        <v>3052</v>
      </c>
      <c r="AVW13" s="1">
        <v>335</v>
      </c>
    </row>
    <row r="14" spans="1:1271" x14ac:dyDescent="0.3">
      <c r="A14" s="1" t="s">
        <v>3053</v>
      </c>
      <c r="B14" s="1" t="s">
        <v>3054</v>
      </c>
      <c r="C14" s="1" t="s">
        <v>3055</v>
      </c>
      <c r="D14" s="1" t="s">
        <v>2994</v>
      </c>
      <c r="E14" s="2">
        <v>356676102903926</v>
      </c>
      <c r="F14" s="1" t="s">
        <v>2994</v>
      </c>
      <c r="H14" s="2"/>
      <c r="I14" s="1" t="s">
        <v>1659</v>
      </c>
      <c r="J14" s="1" t="s">
        <v>2969</v>
      </c>
      <c r="K14" s="1" t="s">
        <v>2969</v>
      </c>
      <c r="N14" s="1" t="s">
        <v>1153</v>
      </c>
      <c r="O14" s="2">
        <v>1</v>
      </c>
      <c r="P14" s="2">
        <v>0</v>
      </c>
      <c r="Q14" s="2">
        <v>0</v>
      </c>
      <c r="R14" s="2">
        <v>0</v>
      </c>
      <c r="S14" s="2">
        <v>0</v>
      </c>
      <c r="U14" s="1" t="s">
        <v>1840</v>
      </c>
      <c r="W14" s="1" t="s">
        <v>1156</v>
      </c>
      <c r="X14" s="1" t="s">
        <v>1156</v>
      </c>
      <c r="AN14" s="1" t="s">
        <v>1182</v>
      </c>
      <c r="AO14" s="2">
        <v>170</v>
      </c>
      <c r="AP14" s="1" t="s">
        <v>2145</v>
      </c>
      <c r="AR14" s="1" t="s">
        <v>1801</v>
      </c>
      <c r="AS14" s="1" t="s">
        <v>1833</v>
      </c>
      <c r="AT14" s="1" t="s">
        <v>1155</v>
      </c>
      <c r="BO14" s="1" t="s">
        <v>1188</v>
      </c>
      <c r="BP14" s="2">
        <v>1</v>
      </c>
      <c r="BQ14" s="2">
        <v>0</v>
      </c>
      <c r="BR14" s="2">
        <v>0</v>
      </c>
      <c r="BS14" s="2">
        <v>0</v>
      </c>
      <c r="BT14" s="2">
        <v>0</v>
      </c>
      <c r="BU14" s="2">
        <v>0</v>
      </c>
      <c r="BV14" s="2">
        <v>0</v>
      </c>
      <c r="BW14" s="2">
        <v>0</v>
      </c>
      <c r="BX14" s="2">
        <v>0</v>
      </c>
      <c r="BY14" s="2">
        <v>0</v>
      </c>
      <c r="BZ14" s="2">
        <v>0</v>
      </c>
      <c r="CA14" s="2">
        <v>0</v>
      </c>
      <c r="CC14" s="1" t="s">
        <v>1155</v>
      </c>
      <c r="DQ14" s="1" t="s">
        <v>1164</v>
      </c>
      <c r="DR14" s="2">
        <v>0</v>
      </c>
      <c r="DS14" s="2">
        <v>0</v>
      </c>
      <c r="DT14" s="2">
        <v>0</v>
      </c>
      <c r="DU14" s="2">
        <v>0</v>
      </c>
      <c r="DV14" s="2">
        <v>1</v>
      </c>
      <c r="DX14" s="1" t="s">
        <v>3056</v>
      </c>
      <c r="DY14" s="2">
        <v>0</v>
      </c>
      <c r="DZ14" s="2">
        <v>1</v>
      </c>
      <c r="EA14" s="2">
        <v>0</v>
      </c>
      <c r="EB14" s="2">
        <v>0</v>
      </c>
      <c r="EC14" s="2">
        <v>0</v>
      </c>
      <c r="ED14" s="2">
        <v>0</v>
      </c>
      <c r="EE14" s="2">
        <v>0</v>
      </c>
      <c r="EF14" s="2">
        <v>0</v>
      </c>
      <c r="EG14" s="2">
        <v>1</v>
      </c>
      <c r="EH14" s="2">
        <v>0</v>
      </c>
      <c r="EI14" s="2">
        <v>0</v>
      </c>
      <c r="EJ14" s="2">
        <v>0</v>
      </c>
      <c r="EK14" s="2">
        <v>0</v>
      </c>
      <c r="EM14" s="1" t="s">
        <v>1194</v>
      </c>
      <c r="EN14" s="2">
        <v>0</v>
      </c>
      <c r="EO14" s="2">
        <v>0</v>
      </c>
      <c r="EP14" s="2">
        <v>0</v>
      </c>
      <c r="EQ14" s="2">
        <v>0</v>
      </c>
      <c r="ER14" s="2">
        <v>1</v>
      </c>
      <c r="ES14" s="2">
        <v>0</v>
      </c>
      <c r="ET14" s="2">
        <v>0</v>
      </c>
      <c r="EU14" s="2">
        <v>0</v>
      </c>
      <c r="EV14" s="2">
        <v>0</v>
      </c>
      <c r="EW14" s="2">
        <v>0</v>
      </c>
      <c r="EX14" s="2">
        <v>0</v>
      </c>
      <c r="EY14" s="2">
        <v>0</v>
      </c>
      <c r="EZ14" s="2">
        <v>0</v>
      </c>
      <c r="FB14" s="1" t="s">
        <v>1155</v>
      </c>
      <c r="GI14" s="1" t="s">
        <v>3057</v>
      </c>
      <c r="GJ14" s="2">
        <v>0</v>
      </c>
      <c r="GK14" s="2">
        <v>0</v>
      </c>
      <c r="GL14" s="2">
        <v>1</v>
      </c>
      <c r="GM14" s="2">
        <v>0</v>
      </c>
      <c r="GN14" s="2">
        <v>0</v>
      </c>
      <c r="GO14" s="2">
        <v>0</v>
      </c>
      <c r="GP14" s="2">
        <v>0</v>
      </c>
      <c r="GQ14" s="2">
        <v>0</v>
      </c>
      <c r="GR14" s="2">
        <v>0</v>
      </c>
      <c r="GS14" s="2">
        <v>0</v>
      </c>
      <c r="GT14" s="2">
        <v>0</v>
      </c>
      <c r="GU14" s="2">
        <v>0</v>
      </c>
      <c r="GV14" s="2">
        <v>1</v>
      </c>
      <c r="GW14" s="1" t="s">
        <v>3058</v>
      </c>
      <c r="AVT14" s="1">
        <v>136624747</v>
      </c>
      <c r="AVU14" s="1" t="s">
        <v>3059</v>
      </c>
      <c r="AVW14" s="1">
        <v>336</v>
      </c>
    </row>
    <row r="15" spans="1:1271" x14ac:dyDescent="0.3">
      <c r="A15" s="1" t="s">
        <v>3060</v>
      </c>
      <c r="B15" s="1" t="s">
        <v>3061</v>
      </c>
      <c r="C15" s="1" t="s">
        <v>3062</v>
      </c>
      <c r="D15" s="1" t="s">
        <v>2968</v>
      </c>
      <c r="E15" s="2">
        <v>356676101957824</v>
      </c>
      <c r="F15" s="1" t="s">
        <v>2968</v>
      </c>
      <c r="H15" s="2"/>
      <c r="I15" s="1" t="s">
        <v>1659</v>
      </c>
      <c r="J15" s="1" t="s">
        <v>2969</v>
      </c>
      <c r="K15" s="1" t="s">
        <v>2969</v>
      </c>
      <c r="N15" s="1" t="s">
        <v>1153</v>
      </c>
      <c r="O15" s="2">
        <v>1</v>
      </c>
      <c r="P15" s="2">
        <v>0</v>
      </c>
      <c r="Q15" s="2">
        <v>0</v>
      </c>
      <c r="R15" s="2">
        <v>0</v>
      </c>
      <c r="S15" s="2">
        <v>0</v>
      </c>
      <c r="U15" s="1" t="s">
        <v>1190</v>
      </c>
      <c r="W15" s="1" t="s">
        <v>1155</v>
      </c>
      <c r="X15" s="1" t="s">
        <v>1156</v>
      </c>
      <c r="AN15" s="1" t="s">
        <v>1182</v>
      </c>
      <c r="AO15" s="2">
        <v>500</v>
      </c>
      <c r="AP15" s="1" t="s">
        <v>2145</v>
      </c>
      <c r="AR15" s="1" t="s">
        <v>1801</v>
      </c>
      <c r="AS15" s="1" t="s">
        <v>1162</v>
      </c>
      <c r="AT15" s="1" t="s">
        <v>1155</v>
      </c>
      <c r="BO15" s="1" t="s">
        <v>1162</v>
      </c>
      <c r="BP15" s="2">
        <v>0</v>
      </c>
      <c r="BQ15" s="2">
        <v>0</v>
      </c>
      <c r="BR15" s="2">
        <v>0</v>
      </c>
      <c r="BS15" s="2">
        <v>0</v>
      </c>
      <c r="BT15" s="2">
        <v>0</v>
      </c>
      <c r="BU15" s="2">
        <v>0</v>
      </c>
      <c r="BV15" s="2">
        <v>0</v>
      </c>
      <c r="BW15" s="2">
        <v>1</v>
      </c>
      <c r="BX15" s="2">
        <v>0</v>
      </c>
      <c r="BY15" s="2">
        <v>0</v>
      </c>
      <c r="BZ15" s="2">
        <v>0</v>
      </c>
      <c r="CA15" s="2">
        <v>0</v>
      </c>
      <c r="CC15" s="1" t="s">
        <v>1155</v>
      </c>
      <c r="DQ15" s="1" t="s">
        <v>1164</v>
      </c>
      <c r="DR15" s="2">
        <v>0</v>
      </c>
      <c r="DS15" s="2">
        <v>0</v>
      </c>
      <c r="DT15" s="2">
        <v>0</v>
      </c>
      <c r="DU15" s="2">
        <v>0</v>
      </c>
      <c r="DV15" s="2">
        <v>1</v>
      </c>
      <c r="DX15" s="1" t="s">
        <v>1164</v>
      </c>
      <c r="DY15" s="2">
        <v>0</v>
      </c>
      <c r="DZ15" s="2">
        <v>0</v>
      </c>
      <c r="EA15" s="2">
        <v>0</v>
      </c>
      <c r="EB15" s="2">
        <v>0</v>
      </c>
      <c r="EC15" s="2">
        <v>0</v>
      </c>
      <c r="ED15" s="2">
        <v>0</v>
      </c>
      <c r="EE15" s="2">
        <v>0</v>
      </c>
      <c r="EF15" s="2">
        <v>0</v>
      </c>
      <c r="EG15" s="2">
        <v>0</v>
      </c>
      <c r="EH15" s="2">
        <v>1</v>
      </c>
      <c r="EI15" s="2">
        <v>0</v>
      </c>
      <c r="EJ15" s="2">
        <v>0</v>
      </c>
      <c r="EK15" s="2">
        <v>0</v>
      </c>
      <c r="EM15" s="1" t="s">
        <v>1164</v>
      </c>
      <c r="EN15" s="2">
        <v>0</v>
      </c>
      <c r="EO15" s="2">
        <v>0</v>
      </c>
      <c r="EP15" s="2">
        <v>0</v>
      </c>
      <c r="EQ15" s="2">
        <v>0</v>
      </c>
      <c r="ER15" s="2">
        <v>0</v>
      </c>
      <c r="ES15" s="2">
        <v>0</v>
      </c>
      <c r="ET15" s="2">
        <v>0</v>
      </c>
      <c r="EU15" s="2">
        <v>0</v>
      </c>
      <c r="EV15" s="2">
        <v>0</v>
      </c>
      <c r="EW15" s="2">
        <v>1</v>
      </c>
      <c r="EX15" s="2">
        <v>0</v>
      </c>
      <c r="EY15" s="2">
        <v>0</v>
      </c>
      <c r="EZ15" s="2">
        <v>0</v>
      </c>
      <c r="FB15" s="1" t="s">
        <v>1156</v>
      </c>
      <c r="FC15" s="1" t="s">
        <v>1158</v>
      </c>
      <c r="FD15" s="2">
        <v>0</v>
      </c>
      <c r="FE15" s="2">
        <v>0</v>
      </c>
      <c r="FF15" s="2">
        <v>0</v>
      </c>
      <c r="FG15" s="2">
        <v>0</v>
      </c>
      <c r="FH15" s="2">
        <v>1</v>
      </c>
      <c r="FI15" s="2">
        <v>0</v>
      </c>
      <c r="FJ15" s="2">
        <v>0</v>
      </c>
      <c r="FL15" s="1" t="s">
        <v>1162</v>
      </c>
      <c r="FM15" s="2">
        <v>0</v>
      </c>
      <c r="FN15" s="2">
        <v>0</v>
      </c>
      <c r="FO15" s="2">
        <v>0</v>
      </c>
      <c r="FP15" s="2">
        <v>0</v>
      </c>
      <c r="FQ15" s="2">
        <v>0</v>
      </c>
      <c r="FR15" s="2">
        <v>0</v>
      </c>
      <c r="FS15" s="2">
        <v>0</v>
      </c>
      <c r="FT15" s="2">
        <v>0</v>
      </c>
      <c r="FU15" s="2">
        <v>0</v>
      </c>
      <c r="FV15" s="2">
        <v>0</v>
      </c>
      <c r="FW15" s="2">
        <v>0</v>
      </c>
      <c r="FX15" s="2">
        <v>1</v>
      </c>
      <c r="FY15" s="2">
        <v>0</v>
      </c>
      <c r="GA15" s="1" t="s">
        <v>1156</v>
      </c>
      <c r="GI15" s="1" t="s">
        <v>1162</v>
      </c>
      <c r="GJ15" s="2">
        <v>0</v>
      </c>
      <c r="GK15" s="2">
        <v>0</v>
      </c>
      <c r="GL15" s="2">
        <v>0</v>
      </c>
      <c r="GM15" s="2">
        <v>0</v>
      </c>
      <c r="GN15" s="2">
        <v>0</v>
      </c>
      <c r="GO15" s="2">
        <v>0</v>
      </c>
      <c r="GP15" s="2">
        <v>0</v>
      </c>
      <c r="GQ15" s="2">
        <v>0</v>
      </c>
      <c r="GR15" s="2">
        <v>0</v>
      </c>
      <c r="GS15" s="2">
        <v>0</v>
      </c>
      <c r="GT15" s="2">
        <v>0</v>
      </c>
      <c r="GU15" s="2">
        <v>1</v>
      </c>
      <c r="GV15" s="2">
        <v>0</v>
      </c>
      <c r="AVT15" s="1">
        <v>136638877</v>
      </c>
      <c r="AVU15" s="1" t="s">
        <v>3063</v>
      </c>
      <c r="AVW15" s="1">
        <v>346</v>
      </c>
    </row>
    <row r="16" spans="1:1271" x14ac:dyDescent="0.3">
      <c r="A16" s="1" t="s">
        <v>3064</v>
      </c>
      <c r="B16" s="1" t="s">
        <v>3065</v>
      </c>
      <c r="C16" s="1" t="s">
        <v>3066</v>
      </c>
      <c r="D16" s="1" t="s">
        <v>2968</v>
      </c>
      <c r="E16" s="2">
        <v>356676101957824</v>
      </c>
      <c r="F16" s="1" t="s">
        <v>2968</v>
      </c>
      <c r="H16" s="2"/>
      <c r="I16" s="1" t="s">
        <v>1659</v>
      </c>
      <c r="J16" s="1" t="s">
        <v>2969</v>
      </c>
      <c r="K16" s="1" t="s">
        <v>2969</v>
      </c>
      <c r="N16" s="1" t="s">
        <v>1389</v>
      </c>
      <c r="O16" s="2">
        <v>0</v>
      </c>
      <c r="P16" s="2">
        <v>0</v>
      </c>
      <c r="Q16" s="2">
        <v>0</v>
      </c>
      <c r="R16" s="2">
        <v>1</v>
      </c>
      <c r="S16" s="2">
        <v>0</v>
      </c>
      <c r="OK16" s="1" t="s">
        <v>1386</v>
      </c>
      <c r="OM16" s="1" t="s">
        <v>3082</v>
      </c>
      <c r="ON16" s="1" t="s">
        <v>1156</v>
      </c>
      <c r="PL16" s="1" t="s">
        <v>1156</v>
      </c>
      <c r="PM16" s="2">
        <v>4</v>
      </c>
      <c r="PN16" s="1" t="s">
        <v>1156</v>
      </c>
      <c r="PO16" s="2">
        <v>2</v>
      </c>
      <c r="PP16" s="2">
        <v>2</v>
      </c>
      <c r="PQ16" s="1" t="s">
        <v>1155</v>
      </c>
      <c r="PR16" s="1" t="s">
        <v>1155</v>
      </c>
      <c r="PU16" s="1" t="s">
        <v>1155</v>
      </c>
      <c r="PX16" s="1" t="s">
        <v>1156</v>
      </c>
      <c r="PY16" s="1" t="s">
        <v>2491</v>
      </c>
      <c r="PZ16" s="1" t="s">
        <v>3067</v>
      </c>
      <c r="QA16" s="2">
        <v>1</v>
      </c>
      <c r="QB16" s="2">
        <v>0</v>
      </c>
      <c r="QC16" s="2">
        <v>0</v>
      </c>
      <c r="QD16" s="2">
        <v>1</v>
      </c>
      <c r="QE16" s="2">
        <v>0</v>
      </c>
      <c r="QF16" s="2">
        <v>0</v>
      </c>
      <c r="QG16" s="2">
        <v>0</v>
      </c>
      <c r="QH16" s="2">
        <v>0</v>
      </c>
      <c r="QI16" s="2">
        <v>0</v>
      </c>
      <c r="QJ16" s="2">
        <v>1</v>
      </c>
      <c r="QK16" s="2">
        <v>0</v>
      </c>
      <c r="QL16" s="2">
        <v>0</v>
      </c>
      <c r="QM16" s="2">
        <v>0</v>
      </c>
      <c r="QN16" s="2">
        <v>0</v>
      </c>
      <c r="QP16" s="1" t="s">
        <v>1156</v>
      </c>
      <c r="QQ16" s="1" t="s">
        <v>2193</v>
      </c>
      <c r="QR16" s="2">
        <v>1</v>
      </c>
      <c r="QS16" s="2">
        <v>1</v>
      </c>
      <c r="QT16" s="2">
        <v>0</v>
      </c>
      <c r="QU16" s="2">
        <v>0</v>
      </c>
      <c r="QV16" s="2">
        <v>1</v>
      </c>
      <c r="QW16" s="2">
        <v>1</v>
      </c>
      <c r="QY16" s="1" t="s">
        <v>1155</v>
      </c>
      <c r="RG16" s="2">
        <v>30</v>
      </c>
      <c r="RH16" s="1" t="s">
        <v>1156</v>
      </c>
      <c r="RI16" s="1" t="s">
        <v>1166</v>
      </c>
      <c r="RV16" s="1" t="s">
        <v>3068</v>
      </c>
      <c r="RW16" s="2">
        <v>0</v>
      </c>
      <c r="RX16" s="2">
        <v>0</v>
      </c>
      <c r="RY16" s="2">
        <v>1</v>
      </c>
      <c r="RZ16" s="2">
        <v>0</v>
      </c>
      <c r="SA16" s="2">
        <v>0</v>
      </c>
      <c r="SB16" s="2">
        <v>0</v>
      </c>
      <c r="SC16" s="2">
        <v>0</v>
      </c>
      <c r="SE16" s="1" t="s">
        <v>2195</v>
      </c>
      <c r="SF16" s="58">
        <v>14</v>
      </c>
      <c r="SG16" s="2">
        <v>0</v>
      </c>
      <c r="SH16" s="2">
        <v>1</v>
      </c>
      <c r="SI16" s="2">
        <v>5</v>
      </c>
      <c r="SJ16" s="2">
        <v>0</v>
      </c>
      <c r="SK16" s="2">
        <v>0</v>
      </c>
      <c r="SL16" s="2">
        <v>6</v>
      </c>
      <c r="SM16" s="2">
        <v>2</v>
      </c>
      <c r="SN16" s="1" t="s">
        <v>1158</v>
      </c>
      <c r="SO16" s="2">
        <v>0</v>
      </c>
      <c r="SP16" s="2">
        <v>0</v>
      </c>
      <c r="SQ16" s="2">
        <v>0</v>
      </c>
      <c r="SR16" s="2">
        <v>0</v>
      </c>
      <c r="SS16" s="2">
        <v>0</v>
      </c>
      <c r="ST16" s="2">
        <v>1</v>
      </c>
      <c r="SU16" s="2">
        <v>0</v>
      </c>
      <c r="SV16" s="2">
        <v>0</v>
      </c>
      <c r="SW16" s="2">
        <v>0</v>
      </c>
      <c r="SX16" s="2">
        <v>0</v>
      </c>
      <c r="SY16" s="2">
        <v>0</v>
      </c>
      <c r="SZ16" s="2">
        <v>0</v>
      </c>
      <c r="TB16" s="1" t="s">
        <v>1156</v>
      </c>
      <c r="TJ16" s="1" t="s">
        <v>1155</v>
      </c>
      <c r="UF16" s="1" t="s">
        <v>1397</v>
      </c>
      <c r="UG16" s="2">
        <v>1</v>
      </c>
      <c r="UH16" s="2">
        <v>0</v>
      </c>
      <c r="UI16" s="2">
        <v>0</v>
      </c>
      <c r="UJ16" s="2">
        <v>0</v>
      </c>
      <c r="UK16" s="2">
        <v>0</v>
      </c>
      <c r="UM16" s="1" t="s">
        <v>1171</v>
      </c>
      <c r="UO16" s="1" t="s">
        <v>1156</v>
      </c>
      <c r="UP16" s="1" t="s">
        <v>3069</v>
      </c>
      <c r="UQ16" s="2">
        <v>1</v>
      </c>
      <c r="UR16" s="2">
        <v>1</v>
      </c>
      <c r="US16" s="2">
        <v>0</v>
      </c>
      <c r="UT16" s="2">
        <v>0</v>
      </c>
      <c r="UU16" s="2">
        <v>0</v>
      </c>
      <c r="UV16" s="2">
        <v>0</v>
      </c>
      <c r="UW16" s="2">
        <v>1</v>
      </c>
      <c r="UX16" s="2">
        <v>0</v>
      </c>
      <c r="UY16" s="2">
        <v>0</v>
      </c>
      <c r="UZ16" s="2">
        <v>0</v>
      </c>
      <c r="VA16" s="2">
        <v>0</v>
      </c>
      <c r="VB16" s="2">
        <v>0</v>
      </c>
      <c r="VC16" s="2">
        <v>0</v>
      </c>
      <c r="VD16" s="2">
        <v>0</v>
      </c>
      <c r="VE16" s="2">
        <v>0</v>
      </c>
      <c r="VF16" s="2">
        <v>0</v>
      </c>
      <c r="VH16" s="1" t="s">
        <v>1163</v>
      </c>
      <c r="VI16" s="2">
        <v>1</v>
      </c>
      <c r="VJ16" s="2">
        <v>0</v>
      </c>
      <c r="VK16" s="2">
        <v>0</v>
      </c>
      <c r="VL16" s="2">
        <v>0</v>
      </c>
      <c r="VM16" s="2">
        <v>0</v>
      </c>
      <c r="VN16" s="2">
        <v>0</v>
      </c>
      <c r="VO16" s="2">
        <v>0</v>
      </c>
      <c r="VP16" s="2">
        <v>0</v>
      </c>
      <c r="VQ16" s="2">
        <v>0</v>
      </c>
      <c r="VR16" s="2">
        <v>0</v>
      </c>
      <c r="VS16" s="2">
        <v>0</v>
      </c>
      <c r="VT16" s="2">
        <v>0</v>
      </c>
      <c r="VU16" s="2">
        <v>0</v>
      </c>
      <c r="VW16" s="1" t="s">
        <v>1156</v>
      </c>
      <c r="VX16" s="1" t="s">
        <v>2396</v>
      </c>
      <c r="VY16" s="2">
        <v>0</v>
      </c>
      <c r="VZ16" s="2">
        <v>0</v>
      </c>
      <c r="WA16" s="2">
        <v>0</v>
      </c>
      <c r="WB16" s="2">
        <v>0</v>
      </c>
      <c r="WC16" s="2">
        <v>1</v>
      </c>
      <c r="WD16" s="2">
        <v>0</v>
      </c>
      <c r="WE16" s="2">
        <v>1</v>
      </c>
      <c r="WF16" s="57" t="s">
        <v>3386</v>
      </c>
      <c r="WG16" s="1" t="s">
        <v>3057</v>
      </c>
      <c r="WH16" s="2">
        <v>0</v>
      </c>
      <c r="WI16" s="2">
        <v>0</v>
      </c>
      <c r="WJ16" s="2">
        <v>1</v>
      </c>
      <c r="WK16" s="2">
        <v>0</v>
      </c>
      <c r="WL16" s="2">
        <v>0</v>
      </c>
      <c r="WM16" s="2">
        <v>0</v>
      </c>
      <c r="WN16" s="2">
        <v>0</v>
      </c>
      <c r="WO16" s="2">
        <v>0</v>
      </c>
      <c r="WP16" s="2">
        <v>0</v>
      </c>
      <c r="WQ16" s="2">
        <v>0</v>
      </c>
      <c r="WR16" s="2">
        <v>0</v>
      </c>
      <c r="WS16" s="2">
        <v>0</v>
      </c>
      <c r="WT16" s="2">
        <v>1</v>
      </c>
      <c r="WU16" s="1" t="s">
        <v>3070</v>
      </c>
      <c r="WV16" s="1" t="s">
        <v>1156</v>
      </c>
      <c r="XD16" s="1" t="s">
        <v>3071</v>
      </c>
      <c r="XE16" s="2">
        <v>0</v>
      </c>
      <c r="XF16" s="2">
        <v>0</v>
      </c>
      <c r="XG16" s="2">
        <v>0</v>
      </c>
      <c r="XH16" s="2">
        <v>1</v>
      </c>
      <c r="XI16" s="2">
        <v>0</v>
      </c>
      <c r="XJ16" s="2">
        <v>0</v>
      </c>
      <c r="XK16" s="2">
        <v>0</v>
      </c>
      <c r="XL16" s="2">
        <v>0</v>
      </c>
      <c r="XM16" s="2">
        <v>0</v>
      </c>
      <c r="XN16" s="2">
        <v>0</v>
      </c>
      <c r="XO16" s="2">
        <v>0</v>
      </c>
      <c r="XP16" s="2">
        <v>0</v>
      </c>
      <c r="XQ16" s="2">
        <v>0</v>
      </c>
      <c r="XT16" s="1" t="s">
        <v>1156</v>
      </c>
      <c r="XU16" s="1" t="s">
        <v>2139</v>
      </c>
      <c r="XV16" s="2">
        <v>0</v>
      </c>
      <c r="XW16" s="2">
        <v>0</v>
      </c>
      <c r="XX16" s="2">
        <v>0</v>
      </c>
      <c r="XY16" s="2">
        <v>1</v>
      </c>
      <c r="XZ16" s="2">
        <v>0</v>
      </c>
      <c r="YA16" s="2">
        <v>0</v>
      </c>
      <c r="YB16" s="2">
        <v>0</v>
      </c>
      <c r="YC16" s="2">
        <v>0</v>
      </c>
      <c r="YE16" s="1" t="s">
        <v>1155</v>
      </c>
      <c r="YF16" s="1" t="s">
        <v>1155</v>
      </c>
      <c r="YH16" s="1" t="s">
        <v>1156</v>
      </c>
      <c r="YI16" s="1" t="s">
        <v>3072</v>
      </c>
      <c r="YJ16" s="2">
        <v>0</v>
      </c>
      <c r="YK16" s="2">
        <v>1</v>
      </c>
      <c r="YL16" s="2">
        <v>0</v>
      </c>
      <c r="YM16" s="2">
        <v>0</v>
      </c>
      <c r="YN16" s="2">
        <v>0</v>
      </c>
      <c r="YO16" s="2">
        <v>0</v>
      </c>
      <c r="YP16" s="2">
        <v>0</v>
      </c>
      <c r="YQ16" s="2">
        <v>0</v>
      </c>
      <c r="YS16" s="1" t="s">
        <v>1155</v>
      </c>
      <c r="ZA16" s="1" t="s">
        <v>1156</v>
      </c>
      <c r="ZB16" s="2">
        <v>30</v>
      </c>
      <c r="ZF16" s="1" t="s">
        <v>1155</v>
      </c>
      <c r="ZH16" s="2">
        <v>30</v>
      </c>
      <c r="ZI16" s="1" t="s">
        <v>1160</v>
      </c>
      <c r="ZK16" s="1" t="s">
        <v>1155</v>
      </c>
      <c r="ZL16" s="1" t="s">
        <v>1156</v>
      </c>
      <c r="ZM16" s="1" t="s">
        <v>1155</v>
      </c>
      <c r="ZN16" s="1" t="s">
        <v>1156</v>
      </c>
      <c r="ZO16" s="1" t="s">
        <v>1156</v>
      </c>
      <c r="ZP16" s="2">
        <v>4</v>
      </c>
      <c r="ZQ16" s="1" t="s">
        <v>1155</v>
      </c>
      <c r="AVT16" s="1">
        <v>136639024</v>
      </c>
      <c r="AVU16" s="1" t="s">
        <v>3073</v>
      </c>
      <c r="AVW16" s="1">
        <v>347</v>
      </c>
    </row>
    <row r="17" spans="1:980 1268:1271" x14ac:dyDescent="0.3">
      <c r="A17" s="1" t="s">
        <v>3074</v>
      </c>
      <c r="B17" s="1" t="s">
        <v>3075</v>
      </c>
      <c r="C17" s="1" t="s">
        <v>3076</v>
      </c>
      <c r="D17" s="1" t="s">
        <v>2994</v>
      </c>
      <c r="E17" s="2">
        <v>356676101957824</v>
      </c>
      <c r="F17" s="1" t="s">
        <v>2994</v>
      </c>
      <c r="H17" s="2"/>
      <c r="I17" s="1" t="s">
        <v>1659</v>
      </c>
      <c r="J17" s="1" t="s">
        <v>2969</v>
      </c>
      <c r="K17" s="1" t="s">
        <v>2969</v>
      </c>
      <c r="N17" s="1" t="s">
        <v>1170</v>
      </c>
      <c r="O17" s="2">
        <v>0</v>
      </c>
      <c r="P17" s="2">
        <v>0</v>
      </c>
      <c r="Q17" s="2">
        <v>1</v>
      </c>
      <c r="R17" s="2">
        <v>0</v>
      </c>
      <c r="S17" s="2">
        <v>0</v>
      </c>
      <c r="ZS17" s="1" t="s">
        <v>3083</v>
      </c>
      <c r="ZT17" s="2" t="s">
        <v>2477</v>
      </c>
      <c r="ZV17" s="1" t="s">
        <v>1172</v>
      </c>
      <c r="ZX17" s="1" t="s">
        <v>1156</v>
      </c>
      <c r="ABE17" s="1" t="s">
        <v>1173</v>
      </c>
      <c r="ABF17" s="2">
        <v>1</v>
      </c>
      <c r="ABG17" s="2">
        <v>0</v>
      </c>
      <c r="ABH17" s="2">
        <v>0</v>
      </c>
      <c r="ABI17" s="2">
        <v>0</v>
      </c>
      <c r="ABJ17" s="2">
        <v>0</v>
      </c>
      <c r="ABL17" s="1" t="s">
        <v>1177</v>
      </c>
      <c r="ABM17" s="2">
        <v>0</v>
      </c>
      <c r="ABN17" s="2">
        <v>0</v>
      </c>
      <c r="ABO17" s="2">
        <v>0</v>
      </c>
      <c r="ABP17" s="2">
        <v>0</v>
      </c>
      <c r="ABQ17" s="2">
        <v>0</v>
      </c>
      <c r="ABR17" s="2">
        <v>0</v>
      </c>
      <c r="ABS17" s="2">
        <v>0</v>
      </c>
      <c r="ABT17" s="2">
        <v>0</v>
      </c>
      <c r="ABU17" s="2">
        <v>0</v>
      </c>
      <c r="ABV17" s="2">
        <v>0</v>
      </c>
      <c r="ABW17" s="2">
        <v>0</v>
      </c>
      <c r="ABX17" s="2">
        <v>1</v>
      </c>
      <c r="ABY17" s="1" t="s">
        <v>3077</v>
      </c>
      <c r="ABZ17" s="2">
        <v>5</v>
      </c>
      <c r="ACA17" s="1" t="s">
        <v>1156</v>
      </c>
      <c r="ACB17" s="2">
        <v>1</v>
      </c>
      <c r="ACC17" s="1" t="s">
        <v>1155</v>
      </c>
      <c r="ACI17" s="1" t="s">
        <v>1155</v>
      </c>
      <c r="ACJ17" s="1" t="s">
        <v>1155</v>
      </c>
      <c r="ACM17" s="1" t="s">
        <v>2157</v>
      </c>
      <c r="ACN17" s="2">
        <v>265</v>
      </c>
      <c r="ACO17" s="2">
        <v>113</v>
      </c>
      <c r="ACP17" s="2">
        <v>152</v>
      </c>
      <c r="ACQ17" s="2">
        <v>152</v>
      </c>
      <c r="ACR17" s="2">
        <v>265</v>
      </c>
      <c r="ACT17" s="2">
        <v>4</v>
      </c>
      <c r="ACU17" s="2">
        <v>16</v>
      </c>
      <c r="ACV17" s="1" t="s">
        <v>1155</v>
      </c>
      <c r="ADQ17" s="2">
        <v>7</v>
      </c>
      <c r="ADR17" s="2">
        <v>2</v>
      </c>
      <c r="ADS17" s="2">
        <v>5</v>
      </c>
      <c r="ADT17" s="2">
        <v>5</v>
      </c>
      <c r="ADU17" s="2">
        <v>7</v>
      </c>
      <c r="ADW17" s="1" t="s">
        <v>1155</v>
      </c>
      <c r="AEO17" s="2">
        <v>0</v>
      </c>
      <c r="AEP17" s="2">
        <v>0</v>
      </c>
      <c r="AEQ17" s="2">
        <v>0</v>
      </c>
      <c r="AER17" s="2">
        <v>0</v>
      </c>
      <c r="AES17" s="2">
        <v>0</v>
      </c>
      <c r="AEU17" s="1" t="s">
        <v>1155</v>
      </c>
      <c r="AFL17" s="2">
        <v>7</v>
      </c>
      <c r="AFM17" s="2">
        <v>2</v>
      </c>
      <c r="AFN17" s="2">
        <v>5</v>
      </c>
      <c r="AFO17" s="2">
        <v>5</v>
      </c>
      <c r="AFP17" s="2">
        <v>7</v>
      </c>
      <c r="AFR17" s="1" t="s">
        <v>1155</v>
      </c>
      <c r="AGH17" s="1" t="s">
        <v>1156</v>
      </c>
      <c r="AGI17" s="1" t="s">
        <v>1187</v>
      </c>
      <c r="AGJ17" s="1" t="s">
        <v>1156</v>
      </c>
      <c r="AGK17" s="90">
        <v>1000</v>
      </c>
      <c r="AGL17" s="1" t="s">
        <v>3078</v>
      </c>
      <c r="AGM17" s="2">
        <v>0</v>
      </c>
      <c r="AGN17" s="2">
        <v>1</v>
      </c>
      <c r="AGO17" s="2">
        <v>0</v>
      </c>
      <c r="AGP17" s="2">
        <v>1</v>
      </c>
      <c r="AGQ17" s="2">
        <v>0</v>
      </c>
      <c r="AGR17" s="2">
        <v>0</v>
      </c>
      <c r="AGT17" s="1" t="s">
        <v>1156</v>
      </c>
      <c r="AGU17" s="1" t="s">
        <v>1166</v>
      </c>
      <c r="AHQ17" s="1" t="s">
        <v>1164</v>
      </c>
      <c r="AHR17" s="2">
        <v>0</v>
      </c>
      <c r="AHS17" s="2">
        <v>0</v>
      </c>
      <c r="AHT17" s="2">
        <v>0</v>
      </c>
      <c r="AHU17" s="2">
        <v>0</v>
      </c>
      <c r="AHV17" s="2">
        <v>1</v>
      </c>
      <c r="AHX17" s="1" t="s">
        <v>3079</v>
      </c>
      <c r="AHY17" s="2">
        <v>1</v>
      </c>
      <c r="AHZ17" s="2">
        <v>0</v>
      </c>
      <c r="AIA17" s="2">
        <v>0</v>
      </c>
      <c r="AIB17" s="2">
        <v>0</v>
      </c>
      <c r="AIC17" s="2">
        <v>0</v>
      </c>
      <c r="AID17" s="2">
        <v>0</v>
      </c>
      <c r="AIE17" s="2">
        <v>1</v>
      </c>
      <c r="AIF17" s="2">
        <v>0</v>
      </c>
      <c r="AIG17" s="2">
        <v>0</v>
      </c>
      <c r="AIH17" s="2">
        <v>0</v>
      </c>
      <c r="AII17" s="2">
        <v>0</v>
      </c>
      <c r="AIK17" s="1" t="s">
        <v>1164</v>
      </c>
      <c r="AIL17" s="2">
        <v>0</v>
      </c>
      <c r="AIM17" s="2">
        <v>0</v>
      </c>
      <c r="AIN17" s="2">
        <v>0</v>
      </c>
      <c r="AIO17" s="2">
        <v>0</v>
      </c>
      <c r="AIP17" s="2">
        <v>0</v>
      </c>
      <c r="AIQ17" s="2">
        <v>0</v>
      </c>
      <c r="AIR17" s="2">
        <v>0</v>
      </c>
      <c r="AIS17" s="2">
        <v>0</v>
      </c>
      <c r="AIT17" s="2">
        <v>0</v>
      </c>
      <c r="AIU17" s="2">
        <v>1</v>
      </c>
      <c r="AIV17" s="2">
        <v>0</v>
      </c>
      <c r="AIW17" s="2">
        <v>0</v>
      </c>
      <c r="AIX17" s="2">
        <v>0</v>
      </c>
      <c r="AIZ17" s="1" t="s">
        <v>1156</v>
      </c>
      <c r="AJA17" s="1" t="s">
        <v>1158</v>
      </c>
      <c r="AJB17" s="2">
        <v>0</v>
      </c>
      <c r="AJC17" s="2">
        <v>0</v>
      </c>
      <c r="AJD17" s="2">
        <v>0</v>
      </c>
      <c r="AJE17" s="2">
        <v>0</v>
      </c>
      <c r="AJF17" s="2">
        <v>1</v>
      </c>
      <c r="AJG17" s="2">
        <v>0</v>
      </c>
      <c r="AJH17" s="2">
        <v>0</v>
      </c>
      <c r="AJJ17" s="1" t="s">
        <v>1189</v>
      </c>
      <c r="AJK17" s="2">
        <v>0</v>
      </c>
      <c r="AJL17" s="2">
        <v>0</v>
      </c>
      <c r="AJM17" s="2">
        <v>0</v>
      </c>
      <c r="AJN17" s="2">
        <v>0</v>
      </c>
      <c r="AJO17" s="2">
        <v>0</v>
      </c>
      <c r="AJP17" s="2">
        <v>0</v>
      </c>
      <c r="AJQ17" s="2">
        <v>1</v>
      </c>
      <c r="AJR17" s="2">
        <v>0</v>
      </c>
      <c r="AJS17" s="2">
        <v>0</v>
      </c>
      <c r="AJT17" s="2">
        <v>0</v>
      </c>
      <c r="AJU17" s="2">
        <v>0</v>
      </c>
      <c r="AJV17" s="2">
        <v>0</v>
      </c>
      <c r="AJX17" s="1" t="s">
        <v>1156</v>
      </c>
      <c r="AKF17" s="1" t="s">
        <v>3080</v>
      </c>
      <c r="AKG17" s="2">
        <v>0</v>
      </c>
      <c r="AKH17" s="2">
        <v>0</v>
      </c>
      <c r="AKI17" s="2">
        <v>0</v>
      </c>
      <c r="AKJ17" s="2">
        <v>0</v>
      </c>
      <c r="AKK17" s="2">
        <v>0</v>
      </c>
      <c r="AKL17" s="2">
        <v>0</v>
      </c>
      <c r="AKM17" s="2">
        <v>1</v>
      </c>
      <c r="AKN17" s="2">
        <v>1</v>
      </c>
      <c r="AKO17" s="2">
        <v>0</v>
      </c>
      <c r="AKP17" s="2">
        <v>0</v>
      </c>
      <c r="AKQ17" s="2">
        <v>0</v>
      </c>
      <c r="AKR17" s="2">
        <v>0</v>
      </c>
      <c r="AVT17" s="1">
        <v>136639192</v>
      </c>
      <c r="AVU17" s="1" t="s">
        <v>3081</v>
      </c>
      <c r="AVW17" s="1">
        <v>348</v>
      </c>
    </row>
  </sheetData>
  <autoFilter ref="A1:AVW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7C3"/>
  </sheetPr>
  <dimension ref="A1:AS223"/>
  <sheetViews>
    <sheetView zoomScale="90" zoomScaleNormal="90" workbookViewId="0">
      <selection activeCell="J170" sqref="J170"/>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COUNTIFS('MOBAYE_Cleaned Data'!N:N,"eau",'MOBAYE_Cleaned Data'!K:K,"MOBAYE")</f>
        <v>10</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COUNTIF('MOBAYE_Cleaned Data'!U:U,"pompe_pied")</f>
        <v>2</v>
      </c>
      <c r="C7" s="24">
        <f>COUNTIF('MOBAYE_Cleaned Data'!U:U,"pompe_main")</f>
        <v>8</v>
      </c>
      <c r="D7" s="24">
        <f>COUNTIF('MOBAYE_Cleaned Data'!U:U,"source_amenagee")</f>
        <v>0</v>
      </c>
      <c r="E7" s="24">
        <f>COUNTIF('MOBAYE_Cleaned Data'!U:U,"source_non_amenagee")</f>
        <v>0</v>
      </c>
      <c r="F7" s="24">
        <f>COUNTIF('MOBAYE_Cleaned Data'!U:U,"puits_protege")</f>
        <v>0</v>
      </c>
      <c r="G7" s="24">
        <f>COUNTIF('MOBAYE_Cleaned Data'!U:U,"puits_non_protege")</f>
        <v>0</v>
      </c>
      <c r="H7" s="24">
        <f>COUNTIF('MOBAYE_Cleaned Data'!U:U,"camion")</f>
        <v>0</v>
      </c>
      <c r="I7" s="109">
        <f>SUM(B7:H7)</f>
        <v>10</v>
      </c>
      <c r="J7" s="10"/>
      <c r="K7" s="10"/>
      <c r="L7" s="10"/>
      <c r="M7" s="10"/>
      <c r="N7" s="10"/>
      <c r="O7" s="10"/>
      <c r="P7" s="10"/>
      <c r="Q7" s="10"/>
      <c r="R7" s="10"/>
      <c r="Z7" s="1"/>
    </row>
    <row r="8" spans="1:26" s="106" customFormat="1" ht="26" x14ac:dyDescent="0.3">
      <c r="A8" s="101" t="s">
        <v>3246</v>
      </c>
      <c r="B8" s="104">
        <f>(B7/$B$3)</f>
        <v>0.2</v>
      </c>
      <c r="C8" s="104">
        <f t="shared" ref="C8:H8" si="0">(C7/$B$3)</f>
        <v>0.8</v>
      </c>
      <c r="D8" s="104">
        <f t="shared" si="0"/>
        <v>0</v>
      </c>
      <c r="E8" s="104">
        <f t="shared" si="0"/>
        <v>0</v>
      </c>
      <c r="F8" s="104">
        <f t="shared" si="0"/>
        <v>0</v>
      </c>
      <c r="G8" s="104">
        <f t="shared" si="0"/>
        <v>0</v>
      </c>
      <c r="H8" s="104">
        <f t="shared" si="0"/>
        <v>0</v>
      </c>
      <c r="I8" s="102">
        <f>SUM(B8:H8)</f>
        <v>1</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COUNTIF('MOBAYE_Cleaned Data'!X:X,"oui")</f>
        <v>8</v>
      </c>
      <c r="C13" s="24">
        <f>COUNTIF('MOBAYE_Cleaned Data'!X:X,"non")</f>
        <v>0</v>
      </c>
      <c r="D13" s="24">
        <f>COUNTIF('MOBAYE_Cleaned Data'!X:X,"endommage")</f>
        <v>2</v>
      </c>
      <c r="E13" s="52">
        <f>SUM(B13,D13)</f>
        <v>10</v>
      </c>
      <c r="F13" s="10"/>
      <c r="G13" s="10"/>
      <c r="H13" s="10"/>
      <c r="I13" s="10"/>
      <c r="J13" s="10"/>
      <c r="K13" s="10"/>
      <c r="L13" s="10"/>
      <c r="M13" s="10"/>
      <c r="N13" s="10"/>
      <c r="O13" s="10"/>
      <c r="P13" s="10"/>
      <c r="Q13" s="10"/>
      <c r="R13" s="10"/>
    </row>
    <row r="14" spans="1:26" s="106" customFormat="1" ht="26" x14ac:dyDescent="0.3">
      <c r="A14" s="101" t="s">
        <v>3246</v>
      </c>
      <c r="B14" s="104">
        <f>(B13/$B$3)</f>
        <v>0.8</v>
      </c>
      <c r="C14" s="104">
        <f t="shared" ref="C14:D14" si="1">(C13/$B$3)</f>
        <v>0</v>
      </c>
      <c r="D14" s="104">
        <f t="shared" si="1"/>
        <v>0.2</v>
      </c>
      <c r="E14" s="102">
        <f>E13/$B$3</f>
        <v>1</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COUNTIF('MOBAYE_Cleaned Data'!Y:Y,"non_maintenance")</f>
        <v>1</v>
      </c>
      <c r="E18" s="24">
        <f>COUNTIF('MOBAYE_Cleaned Data'!Y:Y,"non_rehab")</f>
        <v>0</v>
      </c>
      <c r="F18" s="24">
        <f>COUNTIF('MOBAYE_Cleaned Data'!Y:Y,"non_destruction")</f>
        <v>1</v>
      </c>
      <c r="G18" s="111">
        <f>SUM(D18:F18)</f>
        <v>2</v>
      </c>
      <c r="H18" s="10"/>
      <c r="I18" s="10"/>
      <c r="J18" s="10"/>
      <c r="K18" s="10"/>
      <c r="L18" s="10"/>
      <c r="M18" s="10"/>
      <c r="N18" s="10"/>
      <c r="O18" s="10"/>
      <c r="P18" s="10"/>
      <c r="Q18" s="10"/>
      <c r="R18" s="10"/>
    </row>
    <row r="19" spans="1:26" s="106" customFormat="1" ht="37.5" x14ac:dyDescent="0.3">
      <c r="A19" s="105"/>
      <c r="B19" s="105"/>
      <c r="C19" s="101" t="s">
        <v>3247</v>
      </c>
      <c r="D19" s="104">
        <f>D18/$D$13</f>
        <v>0.5</v>
      </c>
      <c r="E19" s="104">
        <f>E18/$D$13</f>
        <v>0</v>
      </c>
      <c r="F19" s="104">
        <f>F18/$D$13</f>
        <v>0.5</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COUNTIF('MOBAYE_Cleaned Data'!AA:AA,"moins_six_mois")</f>
        <v>1</v>
      </c>
      <c r="E23" s="24">
        <f>COUNTIF('MOBAYE_Cleaned Data'!AA:AA,"six_mois_un_an")</f>
        <v>0</v>
      </c>
      <c r="F23" s="24">
        <f>COUNTIF('MOBAYE_Cleaned Data'!AA:AA,"un_an_trois_ans")</f>
        <v>1</v>
      </c>
      <c r="G23" s="24">
        <f>COUNTIF('MOBAYE_Cleaned Data'!AA:AA,"plus_trois_ans")</f>
        <v>0</v>
      </c>
      <c r="H23" s="24">
        <f>COUNTIF('MOBAYE_Cleaned Data'!AA:AA,"nsp")</f>
        <v>0</v>
      </c>
      <c r="I23" s="111">
        <f>SUM(D23:H23)</f>
        <v>2</v>
      </c>
      <c r="J23" s="10"/>
      <c r="K23" s="10"/>
      <c r="L23" s="10"/>
      <c r="M23" s="10"/>
      <c r="N23" s="10"/>
      <c r="O23" s="10"/>
      <c r="P23" s="10"/>
      <c r="Q23" s="10"/>
      <c r="R23" s="10"/>
    </row>
    <row r="24" spans="1:26" s="106" customFormat="1" ht="36.5" customHeight="1" x14ac:dyDescent="0.3">
      <c r="A24" s="105"/>
      <c r="B24" s="105"/>
      <c r="C24" s="101" t="s">
        <v>3247</v>
      </c>
      <c r="D24" s="104">
        <f>D23/$D$13</f>
        <v>0.5</v>
      </c>
      <c r="E24" s="104">
        <f>E23/$D$13</f>
        <v>0</v>
      </c>
      <c r="F24" s="104">
        <f>F23/$D$13</f>
        <v>0.5</v>
      </c>
      <c r="G24" s="104">
        <f t="shared" ref="G24:H24" si="2">G23/$D$13</f>
        <v>0</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COUNTIF('MOBAYE_Cleaned Data'!AC:AC,"1")</f>
        <v>0</v>
      </c>
      <c r="E28" s="24">
        <f>COUNTIF('MOBAYE_Cleaned Data'!AD:AD,"1")</f>
        <v>0</v>
      </c>
      <c r="F28" s="24">
        <f>COUNTIF('MOBAYE_Cleaned Data'!AF:AF,"1")</f>
        <v>0</v>
      </c>
      <c r="G28" s="24">
        <f>COUNTIF('MOBAYE_Cleaned Data'!AH:AH,"1")</f>
        <v>0</v>
      </c>
      <c r="H28" s="24">
        <f>COUNTIF('MOBAYE_Cleaned Data'!AI:AI,"1")</f>
        <v>0</v>
      </c>
      <c r="I28" s="24">
        <f>COUNTIF('MOBAYE_Cleaned Data'!AK:AK,"1")</f>
        <v>0</v>
      </c>
      <c r="J28" s="74" t="s">
        <v>2955</v>
      </c>
      <c r="K28" s="10"/>
      <c r="L28" s="10"/>
      <c r="M28" s="10"/>
      <c r="N28" s="10"/>
      <c r="O28" s="10"/>
      <c r="P28" s="10"/>
      <c r="Q28" s="10"/>
      <c r="R28" s="10"/>
      <c r="X28" s="1"/>
      <c r="Y28" s="1"/>
      <c r="Z28" s="1"/>
    </row>
    <row r="29" spans="1:26" s="105" customFormat="1" ht="37.5" x14ac:dyDescent="0.3">
      <c r="A29" s="107"/>
      <c r="B29" s="108"/>
      <c r="C29" s="101" t="s">
        <v>3248</v>
      </c>
      <c r="D29" s="104" t="e">
        <f>D28/$C$13</f>
        <v>#DIV/0!</v>
      </c>
      <c r="E29" s="104" t="e">
        <f t="shared" ref="E29:I29" si="3">E28/$C$13</f>
        <v>#DIV/0!</v>
      </c>
      <c r="F29" s="104" t="e">
        <f t="shared" si="3"/>
        <v>#DIV/0!</v>
      </c>
      <c r="G29" s="104" t="e">
        <f t="shared" si="3"/>
        <v>#DIV/0!</v>
      </c>
      <c r="H29" s="104" t="e">
        <f t="shared" si="3"/>
        <v>#DIV/0!</v>
      </c>
      <c r="I29" s="104" t="e">
        <f t="shared" si="3"/>
        <v>#DIV/0!</v>
      </c>
      <c r="J29" s="10"/>
    </row>
    <row r="30" spans="1:26" s="10" customFormat="1" x14ac:dyDescent="0.3">
      <c r="A30" s="14"/>
      <c r="B30" s="15"/>
      <c r="C30" s="97"/>
      <c r="D30" s="15"/>
      <c r="E30" s="15"/>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COUNTIF('MOBAYE_Cleaned Data'!AM:AM,"moins_six_mois")</f>
        <v>0</v>
      </c>
      <c r="E33" s="24">
        <f>COUNTIF('MOBAYE_Cleaned Data'!AM:AM,"six_mois_un_an")</f>
        <v>0</v>
      </c>
      <c r="F33" s="24">
        <f>COUNTIF('MOBAYE_Cleaned Data'!AM:AM,"un_an_trois_ans")</f>
        <v>0</v>
      </c>
      <c r="G33" s="24">
        <f>COUNTIF('MOBAYE_Cleaned Data'!AM:AM,"plus_trois_ans")</f>
        <v>0</v>
      </c>
      <c r="H33" s="24">
        <f>COUNTIF('MOBAYE_Cleaned Data'!AM:AM,"nsp")</f>
        <v>0</v>
      </c>
      <c r="I33" s="111">
        <f>SUM(D33:H33)</f>
        <v>0</v>
      </c>
      <c r="J33" s="10"/>
      <c r="K33" s="10"/>
      <c r="L33" s="10"/>
      <c r="M33" s="10"/>
      <c r="N33" s="10"/>
      <c r="O33" s="10"/>
      <c r="P33" s="10"/>
      <c r="Q33" s="10"/>
      <c r="R33" s="10"/>
    </row>
    <row r="34" spans="1:26" s="106" customFormat="1" ht="41.5" customHeight="1" x14ac:dyDescent="0.3">
      <c r="A34" s="105"/>
      <c r="B34" s="105"/>
      <c r="C34" s="101" t="s">
        <v>3248</v>
      </c>
      <c r="D34" s="104" t="e">
        <f>D33/$C$13</f>
        <v>#DIV/0!</v>
      </c>
      <c r="E34" s="104" t="e">
        <f t="shared" ref="E34:H34" si="4">E33/$C$13</f>
        <v>#DIV/0!</v>
      </c>
      <c r="F34" s="104" t="e">
        <f t="shared" si="4"/>
        <v>#DIV/0!</v>
      </c>
      <c r="G34" s="104" t="e">
        <f t="shared" si="4"/>
        <v>#DIV/0!</v>
      </c>
      <c r="H34" s="104" t="e">
        <f t="shared" si="4"/>
        <v>#DIV/0!</v>
      </c>
      <c r="I34" s="100" t="e">
        <f>SUM(D34:H34)</f>
        <v>#DIV/0!</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COUNTIF('MOBAYE_Cleaned Data'!BP:BP,"1")</f>
        <v>1</v>
      </c>
      <c r="C38" s="24">
        <f>COUNTIF('MOBAYE_Cleaned Data'!BQ:BQ,"1")</f>
        <v>0</v>
      </c>
      <c r="D38" s="24">
        <f>COUNTIF('MOBAYE_Cleaned Data'!BR:BR,"1")</f>
        <v>0</v>
      </c>
      <c r="E38" s="24">
        <f>COUNTIF('MOBAYE_Cleaned Data'!BY:BY,"1")</f>
        <v>0</v>
      </c>
      <c r="F38" s="24">
        <f>COUNTIF('MOBAYE_Cleaned Data'!BZ:BZ,"1")</f>
        <v>1</v>
      </c>
      <c r="G38" s="24">
        <f>COUNTIF('MOBAYE_Cleaned Data'!BS:BS,"1")</f>
        <v>0</v>
      </c>
      <c r="H38" s="24">
        <f>COUNTIF('MOBAYE_Cleaned Data'!BT:BT,"1")</f>
        <v>3</v>
      </c>
      <c r="I38" s="24">
        <f>COUNTIF('MOBAYE_Cleaned Data'!BU:BU,"1")</f>
        <v>6</v>
      </c>
      <c r="J38" s="24">
        <f>COUNTIF('MOBAYE_Cleaned Data'!CA:CA,"1")</f>
        <v>0</v>
      </c>
      <c r="K38" s="24">
        <f>COUNTIF('MOBAYE_Cleaned Data'!BW:BW,"1")</f>
        <v>1</v>
      </c>
      <c r="L38" s="24">
        <f>COUNTIF('MOBAYE_Cleaned Data'!BX:BX,"1")</f>
        <v>0</v>
      </c>
      <c r="M38" s="10"/>
      <c r="N38" s="10"/>
      <c r="O38" s="10"/>
      <c r="P38" s="10"/>
      <c r="Q38" s="10"/>
      <c r="R38" s="10"/>
    </row>
    <row r="39" spans="1:26" s="106" customFormat="1" ht="26" x14ac:dyDescent="0.3">
      <c r="A39" s="101" t="s">
        <v>3246</v>
      </c>
      <c r="B39" s="104">
        <f>B38/$B$3</f>
        <v>0.1</v>
      </c>
      <c r="C39" s="104">
        <f t="shared" ref="C39:L39" si="5">C38/$B$3</f>
        <v>0</v>
      </c>
      <c r="D39" s="104">
        <f t="shared" si="5"/>
        <v>0</v>
      </c>
      <c r="E39" s="104">
        <f t="shared" si="5"/>
        <v>0</v>
      </c>
      <c r="F39" s="104">
        <f t="shared" si="5"/>
        <v>0.1</v>
      </c>
      <c r="G39" s="104">
        <f t="shared" si="5"/>
        <v>0</v>
      </c>
      <c r="H39" s="104">
        <f t="shared" si="5"/>
        <v>0.3</v>
      </c>
      <c r="I39" s="104">
        <f t="shared" si="5"/>
        <v>0.6</v>
      </c>
      <c r="J39" s="104">
        <f t="shared" si="5"/>
        <v>0</v>
      </c>
      <c r="K39" s="104">
        <f t="shared" si="5"/>
        <v>0.1</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COUNTIF('MOBAYE_Cleaned Data'!AN:AN, "oui_potable")</f>
        <v>9</v>
      </c>
      <c r="C45" s="3">
        <f>COUNTIF('MOBAYE_Cleaned Data'!AN:AN, "oui_pas_potable")</f>
        <v>0</v>
      </c>
      <c r="D45" s="3">
        <f>COUNTIF('MOBAYE_Cleaned Data'!AN:AN, "oui_traitee")</f>
        <v>0</v>
      </c>
      <c r="E45" s="3">
        <f>COUNTIF('MOBAYE_Cleaned Data'!AN:AN, "non")</f>
        <v>1</v>
      </c>
      <c r="F45" s="111">
        <f>SUM(B45:E45)</f>
        <v>10</v>
      </c>
      <c r="G45" s="10"/>
      <c r="H45" s="10"/>
      <c r="I45" s="10"/>
      <c r="J45" s="10"/>
      <c r="K45" s="10"/>
      <c r="L45" s="10"/>
      <c r="M45" s="10"/>
      <c r="N45" s="10"/>
      <c r="O45" s="10"/>
      <c r="P45" s="10"/>
      <c r="Q45" s="10"/>
      <c r="R45" s="10"/>
    </row>
    <row r="46" spans="1:26" s="106" customFormat="1" ht="37.5" x14ac:dyDescent="0.3">
      <c r="A46" s="101" t="s">
        <v>1883</v>
      </c>
      <c r="B46" s="104">
        <f>(B45/$E$13)</f>
        <v>0.9</v>
      </c>
      <c r="C46" s="104">
        <f t="shared" ref="C46:E46" si="6">(C45/$E$13)</f>
        <v>0</v>
      </c>
      <c r="D46" s="104">
        <f t="shared" si="6"/>
        <v>0</v>
      </c>
      <c r="E46" s="104">
        <f t="shared" si="6"/>
        <v>0.1</v>
      </c>
      <c r="F46" s="100">
        <f>SUM(B46:E46)</f>
        <v>1</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f>AVERAGE('MOBAYE_Cleaned Data'!AO:AO)</f>
        <v>275.5</v>
      </c>
      <c r="B49" s="74"/>
      <c r="C49" s="74"/>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COUNTIF('MOBAYE_Cleaned Data'!AP:AP,"maisons_alentours")</f>
        <v>0</v>
      </c>
      <c r="C53" s="3">
        <f>COUNTIF('MOBAYE_Cleaned Data'!AP:AP,"quartier")</f>
        <v>1</v>
      </c>
      <c r="D53" s="3">
        <f>COUNTIF('MOBAYE_Cleaned Data'!AP:AP,"plusieurs_quartiers")</f>
        <v>7</v>
      </c>
      <c r="E53" s="3">
        <f>COUNTIF('MOBAYE_Cleaned Data'!AP:AP,"localite")</f>
        <v>1</v>
      </c>
      <c r="F53" s="3">
        <f>COUNTIF('MOBAYE_Cleaned Data'!AP:AP,"localite_environs")</f>
        <v>1</v>
      </c>
      <c r="G53" s="3">
        <f>COUNTIF('MOBAYE_Cleaned Data'!AP:AP,"nsp")</f>
        <v>0</v>
      </c>
      <c r="H53" s="3">
        <f>COUNTIF('MOBAYE_Cleaned Data'!AP:AP,"autre")</f>
        <v>0</v>
      </c>
      <c r="I53" s="111">
        <f>SUM(B53:H53)</f>
        <v>10</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0</v>
      </c>
      <c r="C54" s="104">
        <f t="shared" ref="C54:H54" si="7">(C53/$E$13)</f>
        <v>0.1</v>
      </c>
      <c r="D54" s="104">
        <f t="shared" si="7"/>
        <v>0.7</v>
      </c>
      <c r="E54" s="104">
        <f t="shared" si="7"/>
        <v>0.1</v>
      </c>
      <c r="F54" s="104">
        <f t="shared" si="7"/>
        <v>0.1</v>
      </c>
      <c r="G54" s="104">
        <f t="shared" si="7"/>
        <v>0</v>
      </c>
      <c r="H54" s="104">
        <f t="shared" si="7"/>
        <v>0</v>
      </c>
      <c r="I54" s="100">
        <f>SUM(B54:H54)</f>
        <v>0.99999999999999989</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COUNTIF('MOBAYE_Cleaned Data'!AR:AR,"moins_trente_min")</f>
        <v>6</v>
      </c>
      <c r="C58" s="3">
        <f>COUNTIF('MOBAYE_Cleaned Data'!AR:AR,"une_heure")</f>
        <v>2</v>
      </c>
      <c r="D58" s="3">
        <f>COUNTIF('MOBAYE_Cleaned Data'!AR:AR,"une_deux_heures")</f>
        <v>2</v>
      </c>
      <c r="E58" s="3">
        <f>COUNTIF('MOBAYE_Cleaned Data'!AR:AR,"deux_trois_heures")</f>
        <v>0</v>
      </c>
      <c r="F58" s="3">
        <f>COUNTIF('MOBAYE_Cleaned Data'!AR:AR,"plus_trois_heures")</f>
        <v>0</v>
      </c>
      <c r="G58" s="111">
        <f>SUM(B58:F58)</f>
        <v>10</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0.6</v>
      </c>
      <c r="C59" s="94">
        <f t="shared" ref="C59:F59" si="8">(C58/$E$13)</f>
        <v>0.2</v>
      </c>
      <c r="D59" s="94">
        <f t="shared" si="8"/>
        <v>0.2</v>
      </c>
      <c r="E59" s="94">
        <f t="shared" si="8"/>
        <v>0</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COUNTIF('MOBAYE_Cleaned Data'!AS:AS,"aucun")</f>
        <v>1</v>
      </c>
      <c r="C63" s="3">
        <f>COUNTIF('MOBAYE_Cleaned Data'!AS:AS,"moins_trente_minutes")</f>
        <v>5</v>
      </c>
      <c r="D63" s="3">
        <f>COUNTIF('MOBAYE_Cleaned Data'!AS:AS,"moins_une_heure")</f>
        <v>0</v>
      </c>
      <c r="E63" s="3">
        <f>COUNTIF('MOBAYE_Cleaned Data'!AS:AS,"plus_une_heure")</f>
        <v>1</v>
      </c>
      <c r="F63" s="3">
        <f>COUNTIF('MOBAYE_Cleaned Data'!AS:AS,"plus_deux_heures")</f>
        <v>2</v>
      </c>
      <c r="G63" s="3">
        <f>COUNTIF('MOBAYE_Cleaned Data'!AS:AS,"plus_trois_heure")</f>
        <v>0</v>
      </c>
      <c r="H63" s="3">
        <f>COUNTIF('MOBAYE_Cleaned Data'!AS:AS,"nsp")</f>
        <v>1</v>
      </c>
      <c r="I63" s="111">
        <f>SUM(B63:H63)</f>
        <v>10</v>
      </c>
    </row>
    <row r="64" spans="1:45" s="56" customFormat="1" ht="37" x14ac:dyDescent="0.3">
      <c r="A64" s="54" t="s">
        <v>1883</v>
      </c>
      <c r="B64" s="94">
        <f>(B63/$E$13)</f>
        <v>0.1</v>
      </c>
      <c r="C64" s="94">
        <f t="shared" ref="C64:H64" si="9">(C63/$E$13)</f>
        <v>0.5</v>
      </c>
      <c r="D64" s="94">
        <f t="shared" si="9"/>
        <v>0</v>
      </c>
      <c r="E64" s="94">
        <f t="shared" si="9"/>
        <v>0.1</v>
      </c>
      <c r="F64" s="94">
        <f t="shared" si="9"/>
        <v>0.2</v>
      </c>
      <c r="G64" s="94">
        <f t="shared" si="9"/>
        <v>0</v>
      </c>
      <c r="H64" s="94">
        <f t="shared" si="9"/>
        <v>0.1</v>
      </c>
      <c r="I64" s="100">
        <f>SUM(B64:H64)</f>
        <v>0.99999999999999989</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COUNTIF('MOBAYE_Cleaned Data'!AT:AT,"OUI")</f>
        <v>7</v>
      </c>
      <c r="C68" s="3">
        <f>COUNTIF('MOBAYE_Cleaned Data'!AT:AT,"non")</f>
        <v>3</v>
      </c>
      <c r="D68" s="111">
        <f>SUM(B68:C68)</f>
        <v>10</v>
      </c>
      <c r="E68" s="10"/>
      <c r="F68" s="10"/>
      <c r="G68" s="10"/>
      <c r="H68" s="10"/>
      <c r="I68" s="10"/>
      <c r="J68" s="10"/>
      <c r="K68" s="10"/>
      <c r="L68" s="10"/>
      <c r="M68" s="10"/>
      <c r="N68" s="10"/>
      <c r="O68" s="10"/>
      <c r="P68" s="10"/>
      <c r="Q68" s="10"/>
      <c r="R68" s="10"/>
    </row>
    <row r="69" spans="1:26" s="56" customFormat="1" ht="37" x14ac:dyDescent="0.3">
      <c r="A69" s="54" t="s">
        <v>1883</v>
      </c>
      <c r="B69" s="94">
        <f>(B68/$E$13)</f>
        <v>0.7</v>
      </c>
      <c r="C69" s="94">
        <f>(C68/$E$13)</f>
        <v>0.3</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COUNTIF('MOBAYE_Cleaned Data'!AU:AU,"bcp_diminue")</f>
        <v>0</v>
      </c>
      <c r="D73" s="3">
        <f>COUNTIF('MOBAYE_Cleaned Data'!AU:AU,"peu_diminue")</f>
        <v>0</v>
      </c>
      <c r="E73" s="3">
        <f>COUNTIF('MOBAYE_Cleaned Data'!AU:AU,"bcp_augmente")</f>
        <v>6</v>
      </c>
      <c r="F73" s="3">
        <f>COUNTIF('MOBAYE_Cleaned Data'!AU:AU,"PEU_augmente")</f>
        <v>1</v>
      </c>
      <c r="G73" s="111">
        <f>SUM(C73:F73)</f>
        <v>7</v>
      </c>
      <c r="H73" s="10"/>
      <c r="I73" s="10"/>
      <c r="J73" s="10"/>
      <c r="K73" s="10"/>
      <c r="L73" s="10"/>
      <c r="M73" s="10"/>
      <c r="N73" s="10"/>
      <c r="O73" s="10"/>
      <c r="P73" s="10"/>
      <c r="Q73" s="10"/>
      <c r="R73" s="10"/>
    </row>
    <row r="74" spans="1:26" ht="60.5" x14ac:dyDescent="0.3">
      <c r="A74" s="10"/>
      <c r="B74" s="53" t="s">
        <v>3250</v>
      </c>
      <c r="C74" s="7">
        <f>(C73/$B$68)</f>
        <v>0</v>
      </c>
      <c r="D74" s="7">
        <f>(D73/$B$68)</f>
        <v>0</v>
      </c>
      <c r="E74" s="7">
        <f>(E73/$B$68)</f>
        <v>0.8571428571428571</v>
      </c>
      <c r="F74" s="7">
        <f>(F73/$B$68)</f>
        <v>0.14285714285714285</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1905</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COUNTIF('MOBAYE_Cleaned Data'!AV:AV,"1")</f>
        <v>0</v>
      </c>
      <c r="D78" s="3">
        <f>COUNTIF('MOBAYE_Cleaned Data'!AW:AW,"1")</f>
        <v>2</v>
      </c>
      <c r="E78" s="3">
        <f>COUNTIF('MOBAYE_Cleaned Data'!AX:AX,"1")</f>
        <v>0</v>
      </c>
      <c r="F78" s="3">
        <f>COUNTIF('MOBAYE_Cleaned Data'!AY:AY,"1")</f>
        <v>2</v>
      </c>
      <c r="G78" s="3">
        <f>COUNTIF('MOBAYE_Cleaned Data'!AZ:AZ,"1")</f>
        <v>2</v>
      </c>
      <c r="H78" s="3">
        <f>COUNTIF('MOBAYE_Cleaned Data'!BA:BA,"1")</f>
        <v>0</v>
      </c>
      <c r="I78" s="3">
        <f>COUNTIF('MOBAYE_Cleaned Data'!BB:BB,"1")</f>
        <v>1</v>
      </c>
      <c r="J78" s="3">
        <f>COUNTIF('MOBAYE_Cleaned Data'!BC:BC,"1")</f>
        <v>0</v>
      </c>
      <c r="K78" s="20"/>
      <c r="L78" s="10"/>
      <c r="M78" s="10"/>
      <c r="N78" s="10"/>
      <c r="O78" s="10"/>
      <c r="P78" s="10"/>
      <c r="Q78" s="10"/>
      <c r="R78" s="10"/>
    </row>
    <row r="79" spans="1:26" ht="60.5" x14ac:dyDescent="0.3">
      <c r="A79" s="10"/>
      <c r="B79" s="53" t="s">
        <v>3251</v>
      </c>
      <c r="C79" s="7">
        <f t="shared" ref="C79:J79" si="10">C78/$E$73</f>
        <v>0</v>
      </c>
      <c r="D79" s="7">
        <f t="shared" si="10"/>
        <v>0.33333333333333331</v>
      </c>
      <c r="E79" s="7">
        <f t="shared" si="10"/>
        <v>0</v>
      </c>
      <c r="F79" s="7">
        <f t="shared" si="10"/>
        <v>0.33333333333333331</v>
      </c>
      <c r="G79" s="7">
        <f t="shared" si="10"/>
        <v>0.33333333333333331</v>
      </c>
      <c r="H79" s="7">
        <f t="shared" si="10"/>
        <v>0</v>
      </c>
      <c r="I79" s="7">
        <f t="shared" si="10"/>
        <v>0.16666666666666666</v>
      </c>
      <c r="J79" s="7">
        <f t="shared" si="10"/>
        <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COUNTIF('MOBAYE_Cleaned Data'!BF:BF,"1")</f>
        <v>0</v>
      </c>
      <c r="D83" s="3">
        <f>COUNTIF('MOBAYE_Cleaned Data'!BG:BG,"1")</f>
        <v>0</v>
      </c>
      <c r="E83" s="3">
        <f>COUNTIF('MOBAYE_Cleaned Data'!BH:BH,"1")</f>
        <v>0</v>
      </c>
      <c r="F83" s="3">
        <f>COUNTIF('MOBAYE_Cleaned Data'!BI:BI,"1")</f>
        <v>0</v>
      </c>
      <c r="G83" s="3">
        <f>COUNTIF('MOBAYE_Cleaned Data'!BJ:BJ,"1")</f>
        <v>0</v>
      </c>
      <c r="H83" s="3">
        <f>COUNTIF('MOBAYE_Cleaned Data'!BK:BK,"1")</f>
        <v>0</v>
      </c>
      <c r="I83" s="3">
        <f>COUNTIF('MOBAYE_Cleaned Data'!BL:BL,"1")</f>
        <v>0</v>
      </c>
      <c r="J83" s="10"/>
      <c r="K83" s="10"/>
      <c r="L83" s="10"/>
      <c r="M83" s="10"/>
      <c r="N83" s="10"/>
      <c r="O83" s="10"/>
      <c r="P83" s="10"/>
      <c r="Q83" s="10"/>
      <c r="R83" s="10"/>
    </row>
    <row r="84" spans="1:26" ht="60.5" x14ac:dyDescent="0.3">
      <c r="A84" s="10"/>
      <c r="B84" s="53" t="s">
        <v>3252</v>
      </c>
      <c r="C84" s="7" t="e">
        <f t="shared" ref="C84:I84" si="11">C83/$D$73</f>
        <v>#DIV/0!</v>
      </c>
      <c r="D84" s="7" t="e">
        <f t="shared" si="11"/>
        <v>#DIV/0!</v>
      </c>
      <c r="E84" s="7" t="e">
        <f t="shared" si="11"/>
        <v>#DIV/0!</v>
      </c>
      <c r="F84" s="7" t="e">
        <f t="shared" si="11"/>
        <v>#DIV/0!</v>
      </c>
      <c r="G84" s="7" t="e">
        <f t="shared" si="11"/>
        <v>#DIV/0!</v>
      </c>
      <c r="H84" s="7" t="e">
        <f t="shared" si="11"/>
        <v>#DIV/0!</v>
      </c>
      <c r="I84" s="7" t="e">
        <f t="shared" si="11"/>
        <v>#DIV/0!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COUNTIF('MOBAYE_Cleaned Data'!W:W,"OUI")</f>
        <v>3</v>
      </c>
      <c r="C90" s="3">
        <f>COUNTIF('MOBAYE_Cleaned Data'!W:W,"non")</f>
        <v>7</v>
      </c>
      <c r="D90" s="3">
        <f>COUNTIF('MOBAYE_Cleaned Data'!W:W,"nsp")</f>
        <v>0</v>
      </c>
      <c r="E90" s="111">
        <f>SUM(B90:D90)</f>
        <v>10</v>
      </c>
      <c r="F90" s="10"/>
      <c r="G90" s="10"/>
      <c r="H90" s="10"/>
      <c r="I90" s="10"/>
      <c r="J90" s="10"/>
      <c r="K90" s="10"/>
      <c r="L90" s="10"/>
      <c r="M90" s="10"/>
      <c r="N90" s="10"/>
      <c r="O90" s="10"/>
      <c r="P90" s="10"/>
      <c r="Q90" s="10"/>
      <c r="R90" s="10"/>
    </row>
    <row r="91" spans="1:26" ht="26" x14ac:dyDescent="0.3">
      <c r="A91" s="53" t="s">
        <v>3246</v>
      </c>
      <c r="B91" s="7">
        <f>(B90/$B$3)</f>
        <v>0.3</v>
      </c>
      <c r="C91" s="7">
        <f>(C90/$B$3)</f>
        <v>0.7</v>
      </c>
      <c r="D91" s="7">
        <f>(D90/$B$3)</f>
        <v>0</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COUNTIF('MOBAYE_Cleaned Data'!CC:CC,"oui")</f>
        <v>0</v>
      </c>
      <c r="C95" s="3">
        <f>COUNTIF('MOBAYE_Cleaned Data'!CC:CC,"non")</f>
        <v>10</v>
      </c>
      <c r="D95" s="111">
        <f>SUM(A95:C95)</f>
        <v>10</v>
      </c>
      <c r="E95" s="10"/>
      <c r="F95" s="10"/>
      <c r="G95" s="10"/>
      <c r="H95" s="10"/>
      <c r="I95" s="10"/>
      <c r="J95" s="10"/>
      <c r="K95" s="10"/>
      <c r="L95" s="10"/>
      <c r="M95" s="10"/>
      <c r="N95" s="10"/>
      <c r="O95" s="10"/>
      <c r="P95" s="10"/>
      <c r="Q95" s="10"/>
      <c r="R95" s="10"/>
    </row>
    <row r="96" spans="1:26" ht="37" x14ac:dyDescent="0.3">
      <c r="A96" s="54" t="s">
        <v>1883</v>
      </c>
      <c r="B96" s="7">
        <f>(B95/$E$13)</f>
        <v>0</v>
      </c>
      <c r="C96" s="7">
        <f>(C95/$E$13)</f>
        <v>1</v>
      </c>
      <c r="D96" s="100">
        <f>SUM(A96:C96)</f>
        <v>1</v>
      </c>
      <c r="E96" s="10"/>
      <c r="F96" s="10"/>
      <c r="G96" s="10"/>
      <c r="H96" s="10"/>
      <c r="I96" s="10"/>
      <c r="J96" s="10"/>
      <c r="K96" s="10"/>
      <c r="L96" s="10"/>
      <c r="M96" s="10"/>
      <c r="N96" s="10"/>
      <c r="O96" s="10"/>
      <c r="P96" s="10"/>
      <c r="Q96" s="10"/>
      <c r="R96" s="10"/>
    </row>
    <row r="97" spans="2:11" s="10" customFormat="1" x14ac:dyDescent="0.3"/>
    <row r="98" spans="2:11" s="10" customFormat="1" x14ac:dyDescent="0.3">
      <c r="B98" s="18" t="s">
        <v>1242</v>
      </c>
    </row>
    <row r="99" spans="2:11" s="10" customFormat="1" x14ac:dyDescent="0.3">
      <c r="B99" s="21" t="e">
        <f>AVERAGE('MOBAYE_Cleaned Data'!CF:CF)</f>
        <v>#DIV/0!</v>
      </c>
      <c r="C99" s="22" t="s">
        <v>1243</v>
      </c>
      <c r="D99" s="21" t="s">
        <v>1897</v>
      </c>
      <c r="F99" s="74"/>
      <c r="G99" s="74" t="s">
        <v>3336</v>
      </c>
    </row>
    <row r="100" spans="2:11" s="10" customFormat="1" x14ac:dyDescent="0.3"/>
    <row r="101" spans="2:11" s="10" customFormat="1" x14ac:dyDescent="0.3">
      <c r="B101" s="18" t="s">
        <v>1244</v>
      </c>
    </row>
    <row r="102" spans="2:11" s="10" customFormat="1" x14ac:dyDescent="0.3">
      <c r="B102" s="3"/>
      <c r="C102" s="11" t="s">
        <v>1210</v>
      </c>
      <c r="D102" s="11" t="s">
        <v>1209</v>
      </c>
      <c r="E102" s="11" t="s">
        <v>3259</v>
      </c>
      <c r="F102" s="110" t="s">
        <v>1206</v>
      </c>
    </row>
    <row r="103" spans="2:11" s="10" customFormat="1" x14ac:dyDescent="0.3">
      <c r="B103" s="3" t="s">
        <v>1207</v>
      </c>
      <c r="C103" s="3">
        <f>COUNTIF('MOBAYE_Cleaned Data'!CG:CG,"OUI")</f>
        <v>0</v>
      </c>
      <c r="D103" s="3">
        <f>COUNTIF('MOBAYE_Cleaned Data'!CG:CG,"non")</f>
        <v>0</v>
      </c>
      <c r="E103" s="3">
        <f>COUNTIF('MOBAYE_Cleaned Data'!CG:CG,"nsp")</f>
        <v>0</v>
      </c>
      <c r="F103" s="111">
        <f>SUM(C103:E103)</f>
        <v>0</v>
      </c>
    </row>
    <row r="104" spans="2:11" s="10" customFormat="1" ht="37.5" x14ac:dyDescent="0.3">
      <c r="B104" s="53" t="s">
        <v>3253</v>
      </c>
      <c r="C104" s="7" t="e">
        <f>(C103/$B$95)</f>
        <v>#DIV/0!</v>
      </c>
      <c r="D104" s="7" t="e">
        <f>(D103/$B$95)</f>
        <v>#DIV/0!</v>
      </c>
      <c r="E104" s="7" t="e">
        <f>(E103/$B$95)</f>
        <v>#DIV/0!</v>
      </c>
      <c r="F104" s="100" t="e">
        <f>SUM(C104:E104)</f>
        <v>#DIV/0!</v>
      </c>
      <c r="K104" s="1"/>
    </row>
    <row r="105" spans="2:11" s="10" customFormat="1" x14ac:dyDescent="0.3">
      <c r="B105" s="14"/>
      <c r="C105" s="15"/>
      <c r="D105" s="15"/>
      <c r="K105" s="1"/>
    </row>
    <row r="106" spans="2:11" s="10" customFormat="1" x14ac:dyDescent="0.3">
      <c r="B106" s="18" t="s">
        <v>1224</v>
      </c>
    </row>
    <row r="107" spans="2:11" s="10" customFormat="1" ht="28" x14ac:dyDescent="0.3">
      <c r="B107" s="3"/>
      <c r="C107" s="12" t="s">
        <v>1226</v>
      </c>
      <c r="D107" s="12" t="s">
        <v>1405</v>
      </c>
      <c r="E107" s="12" t="s">
        <v>1225</v>
      </c>
      <c r="F107" s="12" t="s">
        <v>1404</v>
      </c>
      <c r="G107" s="110" t="s">
        <v>1206</v>
      </c>
    </row>
    <row r="108" spans="2:11" s="10" customFormat="1" x14ac:dyDescent="0.3">
      <c r="B108" s="3" t="s">
        <v>1207</v>
      </c>
      <c r="C108" s="3">
        <f>COUNTIF('MOBAYE_Cleaned Data'!CH:CH,"bcp_diminue")</f>
        <v>0</v>
      </c>
      <c r="D108" s="3">
        <f>COUNTIF('MOBAYE_Cleaned Data'!CH:CH,"peu_diminue")</f>
        <v>0</v>
      </c>
      <c r="E108" s="3">
        <f>COUNTIF('MOBAYE_Cleaned Data'!CH:CH,"bcp_augmente")</f>
        <v>0</v>
      </c>
      <c r="F108" s="3">
        <f>COUNTIF('MOBAYE_Cleaned Data'!CH:CH,"PEU_augmente")</f>
        <v>0</v>
      </c>
      <c r="G108" s="111">
        <f>SUM(C108:F108)</f>
        <v>0</v>
      </c>
    </row>
    <row r="109" spans="2:11" s="10" customFormat="1" ht="60.5" x14ac:dyDescent="0.3">
      <c r="B109" s="53" t="s">
        <v>3254</v>
      </c>
      <c r="C109" s="7" t="e">
        <f>(C108/$C$103)</f>
        <v>#DIV/0!</v>
      </c>
      <c r="D109" s="7" t="e">
        <f>(D108/$C$103)</f>
        <v>#DIV/0!</v>
      </c>
      <c r="E109" s="7" t="e">
        <f>(E108/$C$103)</f>
        <v>#DIV/0!</v>
      </c>
      <c r="F109" s="7" t="e">
        <f>(F108/$C$103)</f>
        <v>#DIV/0!</v>
      </c>
      <c r="G109" s="100" t="e">
        <f>SUM(C109:F109)</f>
        <v>#DIV/0!</v>
      </c>
    </row>
    <row r="110" spans="2:11" s="10" customFormat="1" x14ac:dyDescent="0.3"/>
    <row r="111" spans="2:11" s="10" customFormat="1" x14ac:dyDescent="0.3">
      <c r="B111" s="1" t="s">
        <v>1245</v>
      </c>
      <c r="C111" s="1"/>
    </row>
    <row r="112" spans="2:11" s="10" customFormat="1" ht="42" x14ac:dyDescent="0.3">
      <c r="B112" s="11" t="s">
        <v>1246</v>
      </c>
      <c r="C112" s="11" t="s">
        <v>1247</v>
      </c>
      <c r="D112" s="11" t="s">
        <v>1248</v>
      </c>
      <c r="E112" s="11" t="s">
        <v>1249</v>
      </c>
      <c r="F112" s="11" t="s">
        <v>3259</v>
      </c>
      <c r="G112" s="11" t="s">
        <v>1205</v>
      </c>
      <c r="H112" s="110" t="s">
        <v>1206</v>
      </c>
    </row>
    <row r="113" spans="1:26" x14ac:dyDescent="0.3">
      <c r="A113" s="10"/>
      <c r="B113" s="3">
        <f>COUNTIF('MOBAYE_Cleaned Data'!CJ:CJ,"1")</f>
        <v>0</v>
      </c>
      <c r="C113" s="3">
        <f>COUNTIF('MOBAYE_Cleaned Data'!CK:CK,"1")</f>
        <v>0</v>
      </c>
      <c r="D113" s="3">
        <f>COUNTIF('MOBAYE_Cleaned Data'!CL:CL,"1")</f>
        <v>0</v>
      </c>
      <c r="E113" s="3">
        <f>COUNTIF('MOBAYE_Cleaned Data'!CM:CM,"1")</f>
        <v>0</v>
      </c>
      <c r="F113" s="3">
        <f>COUNTIF('MOBAYE_Cleaned Data'!CN:CN,"1")</f>
        <v>0</v>
      </c>
      <c r="G113" s="3">
        <f>COUNTIF('MOBAYE_Cleaned Data'!CO:CO,"1")</f>
        <v>0</v>
      </c>
      <c r="H113" s="111">
        <f>SUM(B113:G113)</f>
        <v>0</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COUNTIF('MOBAYE_Cleaned Data'!CZ:CZ,"1")</f>
        <v>0</v>
      </c>
      <c r="C117" s="3">
        <f>COUNTIF('MOBAYE_Cleaned Data'!DA:DA,"1")</f>
        <v>0</v>
      </c>
      <c r="D117" s="3">
        <f>COUNTIF('MOBAYE_Cleaned Data'!DB:DB,"1")</f>
        <v>0</v>
      </c>
      <c r="E117" s="3">
        <f>COUNTIF('MOBAYE_Cleaned Data'!DC:DC,"1")</f>
        <v>0</v>
      </c>
      <c r="F117" s="3">
        <f>COUNTIF('MOBAYE_Cleaned Data'!DD:DD,"1")</f>
        <v>0</v>
      </c>
      <c r="G117" s="3">
        <f>COUNTIF('MOBAYE_Cleaned Data'!DE:DE,"1")</f>
        <v>0</v>
      </c>
      <c r="H117" s="3">
        <f>COUNTIF('MOBAYE_Cleaned Data'!DF:DF,"1")</f>
        <v>0</v>
      </c>
      <c r="I117" s="3">
        <f>COUNTIF('MOBAYE_Cleaned Data'!DG:DG,"1")</f>
        <v>0</v>
      </c>
      <c r="J117" s="111">
        <f>SUM(B117:I117)</f>
        <v>0</v>
      </c>
      <c r="K117" s="10"/>
      <c r="L117" s="10"/>
      <c r="M117" s="10"/>
      <c r="N117" s="10"/>
      <c r="O117" s="10"/>
      <c r="P117" s="10"/>
      <c r="Q117" s="10"/>
      <c r="R117" s="10"/>
    </row>
    <row r="118" spans="1:26" ht="37.5" x14ac:dyDescent="0.3">
      <c r="A118" s="53" t="s">
        <v>1921</v>
      </c>
      <c r="B118" s="7" t="e">
        <f>B117/$B$95</f>
        <v>#DIV/0!</v>
      </c>
      <c r="C118" s="7" t="e">
        <f t="shared" ref="C118:I118" si="12">C117/$B$95</f>
        <v>#DIV/0!</v>
      </c>
      <c r="D118" s="7" t="e">
        <f t="shared" si="12"/>
        <v>#DIV/0!</v>
      </c>
      <c r="E118" s="7" t="e">
        <f t="shared" si="12"/>
        <v>#DIV/0!</v>
      </c>
      <c r="F118" s="7" t="e">
        <f t="shared" si="12"/>
        <v>#DIV/0!</v>
      </c>
      <c r="G118" s="7" t="e">
        <f t="shared" si="12"/>
        <v>#DIV/0!</v>
      </c>
      <c r="H118" s="7" t="e">
        <f t="shared" si="12"/>
        <v>#DIV/0!</v>
      </c>
      <c r="I118" s="7" t="e">
        <f t="shared" si="12"/>
        <v>#DIV/0!</v>
      </c>
      <c r="J118" s="100" t="e">
        <f>SUM(B118:I118)</f>
        <v>#DIV/0!</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COUNTIF('MOBAYE_Cleaned Data'!DI:DI,"OUI")</f>
        <v>0</v>
      </c>
      <c r="C122" s="3">
        <f>COUNTIF('MOBAYE_Cleaned Data'!DI:DI,"non")</f>
        <v>0</v>
      </c>
      <c r="D122" s="3">
        <f>COUNTIF('MOBAYE_Cleaned Data'!DI:DI,"nsp")</f>
        <v>0</v>
      </c>
      <c r="E122" s="111">
        <f>SUM(B122:D122)</f>
        <v>0</v>
      </c>
      <c r="F122" s="10"/>
      <c r="G122" s="10"/>
      <c r="H122" s="10"/>
      <c r="I122" s="10"/>
      <c r="J122" s="10"/>
      <c r="K122" s="10"/>
      <c r="L122" s="10"/>
      <c r="M122" s="10"/>
      <c r="N122" s="10"/>
      <c r="O122" s="10"/>
      <c r="P122" s="10"/>
      <c r="Q122" s="10"/>
      <c r="R122" s="10"/>
    </row>
    <row r="123" spans="1:26" ht="37.5" x14ac:dyDescent="0.3">
      <c r="A123" s="53" t="s">
        <v>1921</v>
      </c>
      <c r="B123" s="7" t="e">
        <f>(B122/$B$95)</f>
        <v>#DIV/0!</v>
      </c>
      <c r="C123" s="7" t="e">
        <f>(C122/$B$95)</f>
        <v>#DIV/0!</v>
      </c>
      <c r="D123" s="7" t="e">
        <f>(D122/$B$95)</f>
        <v>#DIV/0!</v>
      </c>
      <c r="E123" s="100" t="e">
        <f>SUM(B123:D123)</f>
        <v>#DIV/0!</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COUNTIF('MOBAYE_Cleaned Data'!DR:DR,"1")</f>
        <v>3</v>
      </c>
      <c r="C127" s="3">
        <f>COUNTIF('MOBAYE_Cleaned Data'!DS:DS,"1")</f>
        <v>3</v>
      </c>
      <c r="D127" s="3">
        <f>COUNTIF('MOBAYE_Cleaned Data'!DT:DT,"1")</f>
        <v>0</v>
      </c>
      <c r="E127" s="3">
        <f>COUNTIF('MOBAYE_Cleaned Data'!DU:DU,"1")</f>
        <v>0</v>
      </c>
      <c r="F127" s="3">
        <f>COUNTIF('MOBAYE_Cleaned Data'!DV:DV,"1")</f>
        <v>4</v>
      </c>
      <c r="G127" s="10"/>
      <c r="H127" s="10"/>
      <c r="I127" s="10"/>
      <c r="J127" s="10"/>
      <c r="K127" s="10"/>
      <c r="L127" s="10"/>
      <c r="M127" s="10"/>
      <c r="N127" s="10"/>
      <c r="O127" s="10"/>
      <c r="P127" s="10"/>
      <c r="Q127" s="10"/>
      <c r="R127" s="10"/>
    </row>
    <row r="128" spans="1:26" s="56" customFormat="1" ht="25.5" x14ac:dyDescent="0.3">
      <c r="A128" s="54" t="s">
        <v>3328</v>
      </c>
      <c r="B128" s="55">
        <f>(B127/$B$3)</f>
        <v>0.3</v>
      </c>
      <c r="C128" s="55">
        <f t="shared" ref="C128:F128" si="13">(C127/$B$3)</f>
        <v>0.3</v>
      </c>
      <c r="D128" s="55">
        <f t="shared" si="13"/>
        <v>0</v>
      </c>
      <c r="E128" s="55">
        <f t="shared" si="13"/>
        <v>0</v>
      </c>
      <c r="F128" s="55">
        <f t="shared" si="13"/>
        <v>0.4</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10"/>
      <c r="F129" s="10"/>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N131" s="112"/>
      <c r="O131" s="98"/>
      <c r="P131" s="98"/>
      <c r="Q131" s="98"/>
      <c r="R131" s="98"/>
      <c r="S131" s="98"/>
      <c r="T131" s="98"/>
      <c r="U131" s="98"/>
      <c r="V131" s="98"/>
      <c r="W131" s="98"/>
      <c r="X131" s="98"/>
      <c r="Y131" s="98"/>
      <c r="Z131" s="98"/>
    </row>
    <row r="132" spans="1:26" x14ac:dyDescent="0.3">
      <c r="A132" s="3">
        <f>COUNTIF('MOBAYE_Cleaned Data'!DY:DY,"1")</f>
        <v>2</v>
      </c>
      <c r="B132" s="3">
        <f>COUNTIF('MOBAYE_Cleaned Data'!DZ:DZ,"1")</f>
        <v>5</v>
      </c>
      <c r="C132" s="3">
        <f>COUNTIF('MOBAYE_Cleaned Data'!EA:EA,"1")</f>
        <v>2</v>
      </c>
      <c r="D132" s="3">
        <f>COUNTIF('MOBAYE_Cleaned Data'!EB:EB,"1")</f>
        <v>0</v>
      </c>
      <c r="E132" s="3">
        <f>COUNTIF('MOBAYE_Cleaned Data'!EC:EC,"1")</f>
        <v>0</v>
      </c>
      <c r="F132" s="3">
        <f>COUNTIF('MOBAYE_Cleaned Data'!ED:ED,"1")</f>
        <v>1</v>
      </c>
      <c r="G132" s="3">
        <f>COUNTIF('MOBAYE_Cleaned Data'!EE:EE,"1")</f>
        <v>0</v>
      </c>
      <c r="H132" s="3">
        <f>COUNTIF('MOBAYE_Cleaned Data'!EF:EF,"1")</f>
        <v>0</v>
      </c>
      <c r="I132" s="3">
        <f>COUNTIF('MOBAYE_Cleaned Data'!EG:EG,"1")</f>
        <v>4</v>
      </c>
      <c r="J132" s="3">
        <f>COUNTIF('MOBAYE_Cleaned Data'!EH:EH,"1")</f>
        <v>1</v>
      </c>
      <c r="K132" s="3">
        <f>COUNTIF('MOBAYE_Cleaned Data'!EI:EI,"1")</f>
        <v>0</v>
      </c>
      <c r="L132" s="3">
        <f>COUNTIF('MOBAYE_Cleaned Data'!EJ:EJ,"1")</f>
        <v>0</v>
      </c>
      <c r="N132" s="10"/>
      <c r="O132" s="10"/>
      <c r="P132" s="10"/>
      <c r="Q132" s="10"/>
      <c r="R132" s="10"/>
    </row>
    <row r="133" spans="1:26" x14ac:dyDescent="0.3">
      <c r="A133" s="10"/>
      <c r="B133" s="10"/>
      <c r="C133" s="10"/>
      <c r="D133" s="10"/>
      <c r="E133" s="10"/>
      <c r="F133" s="10"/>
      <c r="G133" s="10"/>
      <c r="H133" s="10"/>
      <c r="I133" s="10"/>
      <c r="J133" s="10"/>
      <c r="K133" s="10"/>
      <c r="L133" s="10"/>
      <c r="M133" s="10"/>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5">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N135" s="98"/>
      <c r="O135" s="98"/>
      <c r="P135" s="98"/>
      <c r="Q135" s="98"/>
      <c r="R135" s="98"/>
      <c r="S135" s="98"/>
      <c r="T135" s="98"/>
      <c r="U135" s="98"/>
      <c r="V135" s="98"/>
      <c r="W135" s="98"/>
      <c r="X135" s="98"/>
      <c r="Y135" s="98"/>
      <c r="Z135" s="98"/>
    </row>
    <row r="136" spans="1:26" x14ac:dyDescent="0.3">
      <c r="A136" s="24">
        <f>COUNTIF('MOBAYE_Cleaned Data'!EN:EN,"1")</f>
        <v>0</v>
      </c>
      <c r="B136" s="24">
        <f>COUNTIF('MOBAYE_Cleaned Data'!EO:EO,"1")</f>
        <v>0</v>
      </c>
      <c r="C136" s="24">
        <f>COUNTIF('MOBAYE_Cleaned Data'!EP:EP,"1")</f>
        <v>0</v>
      </c>
      <c r="D136" s="24">
        <f>COUNTIF('MOBAYE_Cleaned Data'!EQ:EQ,"1")</f>
        <v>2</v>
      </c>
      <c r="E136" s="24">
        <f>COUNTIF('MOBAYE_Cleaned Data'!ER:ER,"1")</f>
        <v>5</v>
      </c>
      <c r="F136" s="24">
        <f>COUNTIF('MOBAYE_Cleaned Data'!ES:ES,"1")</f>
        <v>1</v>
      </c>
      <c r="G136" s="24">
        <f>COUNTIF('MOBAYE_Cleaned Data'!ET:ET,"1")</f>
        <v>1</v>
      </c>
      <c r="H136" s="24">
        <f>COUNTIF('MOBAYE_Cleaned Data'!EU:EU,"1")</f>
        <v>2</v>
      </c>
      <c r="I136" s="24">
        <f>COUNTIF('MOBAYE_Cleaned Data'!EV:EV,"1")</f>
        <v>1</v>
      </c>
      <c r="J136" s="24">
        <f>COUNTIF('MOBAYE_Cleaned Data'!EW:EW,"1")</f>
        <v>3</v>
      </c>
      <c r="K136" s="24">
        <f>COUNTIF('MOBAYE_Cleaned Data'!EX:EX,"1")</f>
        <v>0</v>
      </c>
      <c r="L136" s="24">
        <f>COUNTIF('MOBAYE_Cleaned Data'!EY:EY,"1")</f>
        <v>0</v>
      </c>
      <c r="N136" s="10"/>
      <c r="O136" s="10"/>
      <c r="P136" s="10"/>
      <c r="Q136" s="10"/>
      <c r="R136" s="10"/>
    </row>
    <row r="137" spans="1:26" x14ac:dyDescent="0.3">
      <c r="A137" s="10"/>
      <c r="B137" s="10"/>
      <c r="C137" s="10"/>
      <c r="D137" s="10"/>
      <c r="E137" s="10"/>
      <c r="F137" s="10"/>
      <c r="G137" s="10"/>
      <c r="H137" s="10"/>
      <c r="I137" s="10"/>
      <c r="J137" s="10"/>
      <c r="K137" s="10"/>
      <c r="L137" s="10"/>
      <c r="M137" s="10"/>
      <c r="N137" s="10"/>
      <c r="O137" s="10"/>
      <c r="P137" s="10"/>
      <c r="Q137" s="10"/>
      <c r="R137" s="10"/>
    </row>
    <row r="138" spans="1:26" ht="15.5" x14ac:dyDescent="0.35">
      <c r="A138" s="29" t="s">
        <v>1334</v>
      </c>
      <c r="B138" s="10"/>
      <c r="C138" s="10"/>
      <c r="D138" s="10"/>
      <c r="E138" s="10"/>
      <c r="F138" s="10"/>
      <c r="G138" s="10"/>
      <c r="H138" s="10"/>
      <c r="I138" s="10"/>
      <c r="J138" s="10"/>
      <c r="K138" s="10"/>
      <c r="L138" s="10"/>
      <c r="M138" s="10"/>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COUNTIF('MOBAYE_Cleaned Data'!FB:FB,"OUI")</f>
        <v>3</v>
      </c>
      <c r="C140" s="24">
        <f>COUNTIF('MOBAYE_Cleaned Data'!FB:FB,"non")</f>
        <v>7</v>
      </c>
      <c r="D140" s="111">
        <f>SUM(B140:C140)</f>
        <v>10</v>
      </c>
      <c r="E140" s="10"/>
      <c r="F140" s="10"/>
      <c r="G140" s="10"/>
      <c r="H140" s="10"/>
      <c r="I140" s="10"/>
      <c r="J140" s="10"/>
      <c r="K140" s="10"/>
      <c r="L140" s="10"/>
      <c r="M140" s="10"/>
      <c r="N140" s="10"/>
      <c r="O140" s="10"/>
      <c r="P140" s="10"/>
      <c r="Q140" s="10"/>
      <c r="R140" s="10"/>
    </row>
    <row r="141" spans="1:26" ht="26" x14ac:dyDescent="0.3">
      <c r="A141" s="53" t="s">
        <v>3246</v>
      </c>
      <c r="B141" s="7">
        <f>(B140/$B$3)</f>
        <v>0.3</v>
      </c>
      <c r="C141" s="7">
        <f>(C140/$B$3)</f>
        <v>0.7</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COUNTIF('MOBAYE_Cleaned Data'!FD:FD,"1")</f>
        <v>0</v>
      </c>
      <c r="D145" s="24">
        <f>COUNTIF('MOBAYE_Cleaned Data'!FE:FE,"1")</f>
        <v>0</v>
      </c>
      <c r="E145" s="24">
        <f>COUNTIF('MOBAYE_Cleaned Data'!FF:FF,"1")</f>
        <v>0</v>
      </c>
      <c r="F145" s="24">
        <f>COUNTIF('MOBAYE_Cleaned Data'!FG:FG,"1")</f>
        <v>1</v>
      </c>
      <c r="G145" s="24">
        <f>COUNTIF('MOBAYE_Cleaned Data'!FH:FH,"1")</f>
        <v>2</v>
      </c>
      <c r="H145" s="24">
        <f>COUNTIF('MOBAYE_Cleaned Data'!FI:FI,"1")</f>
        <v>0</v>
      </c>
      <c r="I145" s="24">
        <f>COUNTIF('MOBAYE_Cleaned Data'!FJ:FJ,"1")</f>
        <v>0</v>
      </c>
      <c r="J145" s="10"/>
      <c r="K145" s="10"/>
      <c r="L145" s="10"/>
      <c r="M145" s="10"/>
      <c r="N145" s="10"/>
      <c r="O145" s="10"/>
      <c r="P145" s="10"/>
      <c r="Q145" s="10"/>
      <c r="R145" s="10"/>
    </row>
    <row r="146" spans="1:26" ht="49" x14ac:dyDescent="0.3">
      <c r="A146" s="10"/>
      <c r="B146" s="53" t="s">
        <v>3255</v>
      </c>
      <c r="C146" s="7">
        <f>C145/$B$140</f>
        <v>0</v>
      </c>
      <c r="D146" s="7">
        <f t="shared" ref="D146:I146" si="14">D145/$B$140</f>
        <v>0</v>
      </c>
      <c r="E146" s="7">
        <f t="shared" si="14"/>
        <v>0</v>
      </c>
      <c r="F146" s="7">
        <f t="shared" si="14"/>
        <v>0.33333333333333331</v>
      </c>
      <c r="G146" s="7">
        <f t="shared" si="14"/>
        <v>0.66666666666666663</v>
      </c>
      <c r="H146" s="7">
        <f t="shared" si="14"/>
        <v>0</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COUNTIF('MOBAYE_Cleaned Data'!FM:FM,"1")</f>
        <v>0</v>
      </c>
      <c r="D150" s="24">
        <f>COUNTIF('MOBAYE_Cleaned Data'!FN:FN,"1")</f>
        <v>1</v>
      </c>
      <c r="E150" s="24">
        <f>COUNTIF('MOBAYE_Cleaned Data'!FO:FO,"1")</f>
        <v>1</v>
      </c>
      <c r="F150" s="24">
        <f>COUNTIF('MOBAYE_Cleaned Data'!FP:FP,"1")</f>
        <v>0</v>
      </c>
      <c r="G150" s="24">
        <f>COUNTIF('MOBAYE_Cleaned Data'!FQ:FQ,"1")</f>
        <v>1</v>
      </c>
      <c r="H150" s="24">
        <f>COUNTIF('MOBAYE_Cleaned Data'!FR:FR,"1")</f>
        <v>0</v>
      </c>
      <c r="I150" s="24">
        <f>COUNTIF('MOBAYE_Cleaned Data'!FS:FS,"1")</f>
        <v>0</v>
      </c>
      <c r="J150" s="24">
        <f>COUNTIF('MOBAYE_Cleaned Data'!FT:FT,"1")</f>
        <v>0</v>
      </c>
      <c r="K150" s="24">
        <f>COUNTIF('MOBAYE_Cleaned Data'!FU:FU,"1")</f>
        <v>0</v>
      </c>
      <c r="L150" s="24">
        <f>COUNTIF('MOBAYE_Cleaned Data'!FV:FV,"1")</f>
        <v>0</v>
      </c>
      <c r="M150" s="24">
        <f>COUNTIF('MOBAYE_Cleaned Data'!FW:FW,"1")</f>
        <v>0</v>
      </c>
      <c r="N150" s="24">
        <f>COUNTIF('MOBAYE_Cleaned Data'!FX:FX,"1")</f>
        <v>1</v>
      </c>
      <c r="O150" s="24">
        <f>COUNTIF('MOBAYE_Cleaned Data'!FY:FY,"1")</f>
        <v>0</v>
      </c>
      <c r="P150" s="10"/>
      <c r="Q150" s="10"/>
      <c r="R150" s="10"/>
    </row>
    <row r="151" spans="1:26" ht="49" x14ac:dyDescent="0.3">
      <c r="A151" s="10"/>
      <c r="B151" s="53" t="s">
        <v>3255</v>
      </c>
      <c r="C151" s="7">
        <f>C150/$B$140</f>
        <v>0</v>
      </c>
      <c r="D151" s="7">
        <f t="shared" ref="D151:O151" si="15">D150/$B$140</f>
        <v>0.33333333333333331</v>
      </c>
      <c r="E151" s="7">
        <f t="shared" si="15"/>
        <v>0.33333333333333331</v>
      </c>
      <c r="F151" s="7">
        <f t="shared" si="15"/>
        <v>0</v>
      </c>
      <c r="G151" s="7">
        <f t="shared" si="15"/>
        <v>0.33333333333333331</v>
      </c>
      <c r="H151" s="7">
        <f t="shared" si="15"/>
        <v>0</v>
      </c>
      <c r="I151" s="7">
        <f t="shared" si="15"/>
        <v>0</v>
      </c>
      <c r="J151" s="7">
        <f t="shared" si="15"/>
        <v>0</v>
      </c>
      <c r="K151" s="7">
        <f t="shared" si="15"/>
        <v>0</v>
      </c>
      <c r="L151" s="7">
        <f t="shared" si="15"/>
        <v>0</v>
      </c>
      <c r="M151" s="7">
        <f t="shared" si="15"/>
        <v>0</v>
      </c>
      <c r="N151" s="7">
        <f t="shared" si="15"/>
        <v>0.33333333333333331</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COUNTIF('MOBAYE_Cleaned Data'!GA:GA,"OUI")</f>
        <v>3</v>
      </c>
      <c r="D155" s="24">
        <f>COUNTIF('MOBAYE_Cleaned Data'!GA:GA,"non")</f>
        <v>0</v>
      </c>
      <c r="E155" s="111">
        <f>SUM(C155:D155)</f>
        <v>3</v>
      </c>
      <c r="F155" s="10"/>
      <c r="G155" s="10"/>
      <c r="H155" s="10"/>
      <c r="I155" s="10"/>
      <c r="J155" s="10"/>
      <c r="K155" s="10"/>
      <c r="L155" s="10"/>
      <c r="M155" s="10"/>
      <c r="N155" s="10"/>
      <c r="O155" s="10"/>
      <c r="P155" s="10"/>
      <c r="Q155" s="10"/>
      <c r="R155" s="10"/>
    </row>
    <row r="156" spans="1:26" ht="49" x14ac:dyDescent="0.3">
      <c r="A156" s="10"/>
      <c r="B156" s="53" t="s">
        <v>3255</v>
      </c>
      <c r="C156" s="7">
        <f>(C155/$B$140)</f>
        <v>1</v>
      </c>
      <c r="D156" s="7">
        <f>(D155/$B$140)</f>
        <v>0</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COUNTIF('MOBAYE_Cleaned Data'!GC:GC,"1")</f>
        <v>0</v>
      </c>
      <c r="E160" s="4">
        <f>COUNTIF('MOBAYE_Cleaned Data'!GD:GD,"1")</f>
        <v>0</v>
      </c>
      <c r="F160" s="4">
        <f>COUNTIF('MOBAYE_Cleaned Data'!GE:GE,"1")</f>
        <v>0</v>
      </c>
      <c r="G160" s="4">
        <f>COUNTIF('MOBAYE_Cleaned Data'!GF:GF,"1")</f>
        <v>0</v>
      </c>
      <c r="H160" s="4">
        <f>COUNTIF('MOBAYE_Cleaned Data'!GG:GG,"1")</f>
        <v>0</v>
      </c>
      <c r="I160" s="10"/>
      <c r="J160" s="10"/>
      <c r="K160" s="10"/>
      <c r="L160" s="10"/>
      <c r="M160" s="10"/>
      <c r="N160" s="10"/>
      <c r="O160" s="10"/>
      <c r="P160" s="10"/>
      <c r="Q160" s="10"/>
      <c r="R160" s="10"/>
    </row>
    <row r="161" spans="1:13" s="10" customFormat="1" ht="49" x14ac:dyDescent="0.3">
      <c r="C161" s="53" t="s">
        <v>3256</v>
      </c>
      <c r="D161" s="7" t="e">
        <f>D160/$D$155</f>
        <v>#DIV/0!</v>
      </c>
      <c r="E161" s="7" t="e">
        <f t="shared" ref="E161:H161" si="16">E160/$D$155</f>
        <v>#DIV/0!</v>
      </c>
      <c r="F161" s="7" t="e">
        <f t="shared" si="16"/>
        <v>#DIV/0!</v>
      </c>
      <c r="G161" s="7" t="e">
        <f t="shared" si="16"/>
        <v>#DIV/0!</v>
      </c>
      <c r="H161" s="7" t="e">
        <f t="shared" si="16"/>
        <v>#DIV/0!</v>
      </c>
    </row>
    <row r="162" spans="1:13" s="10" customFormat="1" x14ac:dyDescent="0.3"/>
    <row r="163" spans="1:13" s="10" customFormat="1" x14ac:dyDescent="0.3"/>
    <row r="164" spans="1:13" s="10" customFormat="1" ht="15.5" x14ac:dyDescent="0.35">
      <c r="A164" s="9" t="s">
        <v>1301</v>
      </c>
      <c r="C164" s="103" t="s">
        <v>3245</v>
      </c>
    </row>
    <row r="165" spans="1:13" s="10" customFormat="1" x14ac:dyDescent="0.3"/>
    <row r="166" spans="1:13" s="10" customFormat="1"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row>
    <row r="167" spans="1:13" s="10" customFormat="1" x14ac:dyDescent="0.3">
      <c r="A167" s="24">
        <f>COUNTIF('MOBAYE_Cleaned Data'!GJ:GJ,"1")</f>
        <v>1</v>
      </c>
      <c r="B167" s="24">
        <f>COUNTIF('MOBAYE_Cleaned Data'!GK:GK,"1")</f>
        <v>2</v>
      </c>
      <c r="C167" s="24">
        <f>COUNTIF('MOBAYE_Cleaned Data'!GL:GL,"1")</f>
        <v>1</v>
      </c>
      <c r="D167" s="24">
        <f>COUNTIF('MOBAYE_Cleaned Data'!GM:GM,"1")</f>
        <v>0</v>
      </c>
      <c r="E167" s="24">
        <f>COUNTIF('MOBAYE_Cleaned Data'!GN:GN,"1")</f>
        <v>2</v>
      </c>
      <c r="F167" s="24">
        <f>COUNTIF('MOBAYE_Cleaned Data'!GO:GO,"1")</f>
        <v>0</v>
      </c>
      <c r="G167" s="24">
        <f>COUNTIF('MOBAYE_Cleaned Data'!GP:GP,"1")</f>
        <v>1</v>
      </c>
      <c r="H167" s="24">
        <f>COUNTIF('MOBAYE_Cleaned Data'!GQ:GQ,"1")</f>
        <v>2</v>
      </c>
      <c r="I167" s="24">
        <f>COUNTIF('MOBAYE_Cleaned Data'!GR:GR,"1")</f>
        <v>1</v>
      </c>
      <c r="J167" s="24">
        <f>COUNTIF('MOBAYE_Cleaned Data'!GS:GS,"1")</f>
        <v>0</v>
      </c>
      <c r="K167" s="24">
        <f>COUNTIF('MOBAYE_Cleaned Data'!GT:GT,"1")</f>
        <v>0</v>
      </c>
      <c r="L167" s="24">
        <f>COUNTIF('MOBAYE_Cleaned Data'!GU:GU,"1")</f>
        <v>1</v>
      </c>
      <c r="M167" s="24">
        <f>COUNTIF('MOBAYE_Cleaned Data'!GV:GV,"1")</f>
        <v>1</v>
      </c>
    </row>
    <row r="168" spans="1:13" s="10" customFormat="1" x14ac:dyDescent="0.3">
      <c r="M168" s="74" t="s">
        <v>3352</v>
      </c>
    </row>
    <row r="169" spans="1:13" s="10" customFormat="1" x14ac:dyDescent="0.3"/>
    <row r="170" spans="1:13" s="10" customFormat="1" x14ac:dyDescent="0.3"/>
    <row r="171" spans="1:13" s="10" customFormat="1" x14ac:dyDescent="0.3"/>
    <row r="172" spans="1:13" s="10" customFormat="1" x14ac:dyDescent="0.3"/>
    <row r="173" spans="1:13" s="10" customFormat="1" x14ac:dyDescent="0.3"/>
    <row r="174" spans="1:13" s="10" customFormat="1" x14ac:dyDescent="0.3"/>
    <row r="175" spans="1:13" s="10" customFormat="1" x14ac:dyDescent="0.3"/>
    <row r="176" spans="1:13"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pans="1:10" s="10" customFormat="1" x14ac:dyDescent="0.3"/>
    <row r="210" spans="1:10" s="10" customFormat="1" x14ac:dyDescent="0.3"/>
    <row r="211" spans="1:10" s="10" customFormat="1" x14ac:dyDescent="0.3"/>
    <row r="212" spans="1:10" s="10" customFormat="1" x14ac:dyDescent="0.3"/>
    <row r="213" spans="1:10" s="10" customFormat="1" x14ac:dyDescent="0.3"/>
    <row r="214" spans="1:10" s="10" customFormat="1" x14ac:dyDescent="0.3"/>
    <row r="215" spans="1:10" s="10" customFormat="1" x14ac:dyDescent="0.3"/>
    <row r="216" spans="1:10" s="10" customFormat="1" x14ac:dyDescent="0.3"/>
    <row r="217" spans="1:10" s="10" customFormat="1" x14ac:dyDescent="0.3"/>
    <row r="218" spans="1:10" s="10" customFormat="1" x14ac:dyDescent="0.3"/>
    <row r="219" spans="1:10" s="10" customFormat="1" x14ac:dyDescent="0.3"/>
    <row r="220" spans="1:10" s="10" customFormat="1" x14ac:dyDescent="0.3"/>
    <row r="221" spans="1:10" s="10" customFormat="1" x14ac:dyDescent="0.3"/>
    <row r="222" spans="1:10" s="10" customFormat="1" x14ac:dyDescent="0.3"/>
    <row r="223" spans="1:10" s="10" customFormat="1" x14ac:dyDescent="0.3">
      <c r="A223" s="1"/>
      <c r="B223" s="1"/>
      <c r="C223" s="1"/>
      <c r="D223" s="1"/>
      <c r="E223" s="1"/>
      <c r="F223" s="1"/>
      <c r="G223" s="1"/>
      <c r="H223" s="1"/>
      <c r="I223" s="1"/>
      <c r="J223" s="1"/>
    </row>
  </sheetData>
  <conditionalFormatting sqref="A132:L132">
    <cfRule type="colorScale" priority="36">
      <colorScale>
        <cfvo type="min"/>
        <cfvo type="max"/>
        <color theme="6" tint="0.79998168889431442"/>
        <color theme="5" tint="0.39997558519241921"/>
      </colorScale>
    </cfRule>
  </conditionalFormatting>
  <conditionalFormatting sqref="A136:L136">
    <cfRule type="colorScale" priority="35">
      <colorScale>
        <cfvo type="min"/>
        <cfvo type="max"/>
        <color theme="6" tint="0.79998168889431442"/>
        <color theme="5" tint="0.39997558519241921"/>
      </colorScale>
    </cfRule>
  </conditionalFormatting>
  <conditionalFormatting sqref="C150:O150">
    <cfRule type="colorScale" priority="34">
      <colorScale>
        <cfvo type="min"/>
        <cfvo type="max"/>
        <color theme="6" tint="0.79998168889431442"/>
        <color theme="5" tint="0.39997558519241921"/>
      </colorScale>
    </cfRule>
  </conditionalFormatting>
  <conditionalFormatting sqref="D160:H160">
    <cfRule type="colorScale" priority="33">
      <colorScale>
        <cfvo type="min"/>
        <cfvo type="max"/>
        <color theme="6" tint="0.79998168889431442"/>
        <color theme="5" tint="0.39997558519241921"/>
      </colorScale>
    </cfRule>
  </conditionalFormatting>
  <conditionalFormatting sqref="A167:M167">
    <cfRule type="colorScale" priority="32">
      <colorScale>
        <cfvo type="min"/>
        <cfvo type="max"/>
        <color theme="6" tint="0.79998168889431442"/>
        <color theme="5" tint="0.39997558519241921"/>
      </colorScale>
    </cfRule>
  </conditionalFormatting>
  <conditionalFormatting sqref="B53:H53 A60:F60 D61:F61">
    <cfRule type="colorScale" priority="31">
      <colorScale>
        <cfvo type="min"/>
        <cfvo type="max"/>
        <color theme="6" tint="0.79998168889431442"/>
        <color theme="5" tint="0.39997558519241921"/>
      </colorScale>
    </cfRule>
  </conditionalFormatting>
  <conditionalFormatting sqref="B68:C68">
    <cfRule type="colorScale" priority="30">
      <colorScale>
        <cfvo type="min"/>
        <cfvo type="max"/>
        <color theme="6" tint="0.79998168889431442"/>
        <color theme="5" tint="0.39997558519241921"/>
      </colorScale>
    </cfRule>
  </conditionalFormatting>
  <conditionalFormatting sqref="C78:J78">
    <cfRule type="colorScale" priority="29">
      <colorScale>
        <cfvo type="min"/>
        <cfvo type="max"/>
        <color theme="6" tint="0.79998168889431442"/>
        <color theme="5" tint="0.39997558519241921"/>
      </colorScale>
    </cfRule>
  </conditionalFormatting>
  <conditionalFormatting sqref="B38:L38">
    <cfRule type="colorScale" priority="28">
      <colorScale>
        <cfvo type="min"/>
        <cfvo type="max"/>
        <color theme="6" tint="0.79998168889431442"/>
        <color theme="5" tint="0.39997558519241921"/>
      </colorScale>
    </cfRule>
  </conditionalFormatting>
  <conditionalFormatting sqref="B13:C13">
    <cfRule type="colorScale" priority="27">
      <colorScale>
        <cfvo type="min"/>
        <cfvo type="max"/>
        <color theme="6" tint="0.79998168889431442"/>
        <color theme="5" tint="0.39997558519241921"/>
      </colorScale>
    </cfRule>
  </conditionalFormatting>
  <conditionalFormatting sqref="B7:G7">
    <cfRule type="colorScale" priority="26">
      <colorScale>
        <cfvo type="min"/>
        <cfvo type="max"/>
        <color theme="6" tint="0.79998168889431442"/>
        <color theme="5" tint="0.39997558519241921"/>
      </colorScale>
    </cfRule>
  </conditionalFormatting>
  <conditionalFormatting sqref="B90:D90">
    <cfRule type="colorScale" priority="25">
      <colorScale>
        <cfvo type="min"/>
        <cfvo type="max"/>
        <color theme="6" tint="0.79998168889431442"/>
        <color theme="5" tint="0.39997558519241921"/>
      </colorScale>
    </cfRule>
  </conditionalFormatting>
  <conditionalFormatting sqref="D13">
    <cfRule type="colorScale" priority="24">
      <colorScale>
        <cfvo type="min"/>
        <cfvo type="max"/>
        <color theme="6" tint="0.79998168889431442"/>
        <color theme="5" tint="0.39997558519241921"/>
      </colorScale>
    </cfRule>
  </conditionalFormatting>
  <conditionalFormatting sqref="D18:F18">
    <cfRule type="colorScale" priority="23">
      <colorScale>
        <cfvo type="min"/>
        <cfvo type="max"/>
        <color theme="6" tint="0.79998168889431442"/>
        <color theme="5" tint="0.39997558519241921"/>
      </colorScale>
    </cfRule>
  </conditionalFormatting>
  <conditionalFormatting sqref="B58:F58">
    <cfRule type="colorScale" priority="22">
      <colorScale>
        <cfvo type="min"/>
        <cfvo type="max"/>
        <color theme="6" tint="0.79998168889431442"/>
        <color theme="5" tint="0.39997558519241921"/>
      </colorScale>
    </cfRule>
  </conditionalFormatting>
  <conditionalFormatting sqref="A44:A45">
    <cfRule type="duplicateValues" dxfId="5" priority="21"/>
  </conditionalFormatting>
  <conditionalFormatting sqref="A52:A53">
    <cfRule type="duplicateValues" dxfId="4"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3"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D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6">
      <colorScale>
        <cfvo type="min"/>
        <cfvo type="max"/>
        <color theme="6" tint="0.79998168889431442"/>
        <color theme="5" tint="0.39997558519241921"/>
      </colorScale>
    </cfRule>
  </conditionalFormatting>
  <conditionalFormatting sqref="D33:H33">
    <cfRule type="colorScale" priority="5">
      <colorScale>
        <cfvo type="min"/>
        <cfvo type="max"/>
        <color theme="6" tint="0.79998168889431442"/>
        <color theme="5" tint="0.39997558519241921"/>
      </colorScale>
    </cfRule>
  </conditionalFormatting>
  <conditionalFormatting sqref="H7">
    <cfRule type="colorScale" priority="4">
      <colorScale>
        <cfvo type="min"/>
        <cfvo type="max"/>
        <color theme="6" tint="0.79998168889431442"/>
        <color theme="5" tint="0.39997558519241921"/>
      </colorScale>
    </cfRule>
  </conditionalFormatting>
  <conditionalFormatting sqref="B63:H63">
    <cfRule type="colorScale" priority="3">
      <colorScale>
        <cfvo type="min"/>
        <cfvo type="max"/>
        <color theme="6" tint="0.79998168889431442"/>
        <color theme="5" tint="0.39997558519241921"/>
      </colorScale>
    </cfRule>
  </conditionalFormatting>
  <conditionalFormatting sqref="B127:F127">
    <cfRule type="colorScale" priority="2">
      <colorScale>
        <cfvo type="min"/>
        <cfvo type="max"/>
        <color theme="6" tint="0.79998168889431442"/>
        <color theme="5" tint="0.39997558519241921"/>
      </colorScale>
    </cfRule>
  </conditionalFormatting>
  <conditionalFormatting sqref="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7C3"/>
  </sheetPr>
  <dimension ref="A2:Z304"/>
  <sheetViews>
    <sheetView zoomScale="80" zoomScaleNormal="80" workbookViewId="0">
      <selection activeCell="F36" sqref="F36"/>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8.90625" style="10" customWidth="1"/>
    <col min="9" max="9" width="11.7265625" style="10" customWidth="1"/>
    <col min="10" max="10" width="12.453125" style="10" customWidth="1"/>
    <col min="11" max="11" width="12.36328125" style="10" customWidth="1"/>
    <col min="12" max="12" width="15" style="10" customWidth="1"/>
    <col min="13" max="16384" width="8.81640625" style="10"/>
  </cols>
  <sheetData>
    <row r="2" spans="1:13" ht="15.5" x14ac:dyDescent="0.35">
      <c r="A2" s="9" t="s">
        <v>1294</v>
      </c>
    </row>
    <row r="3" spans="1:13" ht="15.5" x14ac:dyDescent="0.35">
      <c r="A3" s="29" t="s">
        <v>1408</v>
      </c>
      <c r="B3" s="83"/>
      <c r="C3" s="84" t="str">
        <f>IF(COUNTIF('MOBAYE_Cleaned Data'!OK:OK,"hopital_district")=1,"OUI","NON")</f>
        <v>OUI</v>
      </c>
    </row>
    <row r="4" spans="1:13" ht="34" customHeight="1" x14ac:dyDescent="0.3">
      <c r="A4" s="155" t="s">
        <v>3318</v>
      </c>
      <c r="B4" s="155"/>
      <c r="C4" s="73">
        <f>COUNTIFS('MOBAYE_Cleaned Data'!N:N,"sante",'MOBAYE_Cleaned Data'!J:J,"MOBAYE")</f>
        <v>2</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COUNTIF('MOBAYE_Cleaned Data'!ON:ON,"oui")</f>
        <v>2</v>
      </c>
      <c r="C9" s="24">
        <f>COUNTIF('MOBAYE_Cleaned Data'!ON:ON,"non")</f>
        <v>0</v>
      </c>
      <c r="D9" s="24">
        <f>COUNTIF('MOBAYE_Cleaned Data'!ON:ON,"partiel")</f>
        <v>0</v>
      </c>
      <c r="E9" s="52">
        <f>SUM(B9+D9)</f>
        <v>2</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6" t="s">
        <v>2033</v>
      </c>
      <c r="D13" s="6" t="s">
        <v>1938</v>
      </c>
      <c r="E13" s="6" t="s">
        <v>2034</v>
      </c>
      <c r="F13" s="6" t="s">
        <v>1939</v>
      </c>
      <c r="G13" s="6" t="s">
        <v>1940</v>
      </c>
      <c r="H13" s="6" t="s">
        <v>2035</v>
      </c>
      <c r="I13" s="6" t="s">
        <v>2036</v>
      </c>
      <c r="J13" s="6" t="s">
        <v>1942</v>
      </c>
      <c r="K13" s="6" t="s">
        <v>1943</v>
      </c>
      <c r="L13" s="6" t="s">
        <v>1905</v>
      </c>
      <c r="M13" s="6" t="s">
        <v>1220</v>
      </c>
    </row>
    <row r="14" spans="1:13" x14ac:dyDescent="0.3">
      <c r="B14" s="3" t="s">
        <v>1207</v>
      </c>
      <c r="C14" s="3">
        <f>COUNTIF('MOBAYE_Cleaned Data'!OS:OS,"1")</f>
        <v>0</v>
      </c>
      <c r="D14" s="3">
        <f>COUNTIF('MOBAYE_Cleaned Data'!OT:OT,"1")</f>
        <v>0</v>
      </c>
      <c r="E14" s="3">
        <f>COUNTIF('MOBAYE_Cleaned Data'!PE:PE,"1")</f>
        <v>0</v>
      </c>
      <c r="F14" s="3">
        <f>COUNTIF('MOBAYE_Cleaned Data'!PF:PF,"1")</f>
        <v>0</v>
      </c>
      <c r="G14" s="3">
        <f>COUNTIF('MOBAYE_Cleaned Data'!PG:PG,"1")</f>
        <v>0</v>
      </c>
      <c r="H14" s="3">
        <f>COUNTIF('MOBAYE_Cleaned Data'!OW:OW,"1")</f>
        <v>0</v>
      </c>
      <c r="I14" s="3">
        <f>COUNTIF('MOBAYE_Cleaned Data'!PH:PH,"1")</f>
        <v>0</v>
      </c>
      <c r="J14" s="3">
        <f>COUNTIF('MOBAYE_Cleaned Data'!PB:PB,"1")</f>
        <v>0</v>
      </c>
      <c r="K14" s="3">
        <f>COUNTIF('MOBAYE_Cleaned Data'!PI:PI,"1")</f>
        <v>0</v>
      </c>
      <c r="L14" s="3">
        <f>COUNTIF('MOBAYE_Cleaned Data'!PC:PC,"1")</f>
        <v>0</v>
      </c>
      <c r="M14" s="3">
        <f>COUNTIF('MOBAYE_Cleaned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COUNTIF('MOBAYE_Cleaned Data'!PK:PK,"moins_six_mois")</f>
        <v>0</v>
      </c>
      <c r="D19" s="3">
        <f>COUNTIF('MOBAYE_Cleaned Data'!PK:PK,"six_mois_un_an ")</f>
        <v>0</v>
      </c>
      <c r="E19" s="3">
        <f>COUNTIF('MOBAYE_Cleaned Data'!PK:PK,"un_an_trois_ans")</f>
        <v>0</v>
      </c>
      <c r="F19" s="3">
        <f>COUNTIF('MOBAYE_Cleaned Data'!PK:PK,"plus_trois_ans")</f>
        <v>0</v>
      </c>
      <c r="G19" s="3">
        <f>COUNTIF('MOBAYE_Cleaned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6" t="s">
        <v>1944</v>
      </c>
      <c r="D23" s="6" t="s">
        <v>2037</v>
      </c>
      <c r="E23" s="6" t="s">
        <v>2038</v>
      </c>
      <c r="F23" s="6" t="s">
        <v>2039</v>
      </c>
      <c r="G23" s="6" t="s">
        <v>2040</v>
      </c>
      <c r="H23" s="6" t="s">
        <v>2041</v>
      </c>
      <c r="I23" s="6" t="s">
        <v>2042</v>
      </c>
      <c r="J23" s="6" t="s">
        <v>2043</v>
      </c>
      <c r="K23" s="6" t="s">
        <v>1905</v>
      </c>
      <c r="L23" s="6" t="s">
        <v>1220</v>
      </c>
    </row>
    <row r="24" spans="1:26" x14ac:dyDescent="0.3">
      <c r="B24" s="24" t="s">
        <v>1207</v>
      </c>
      <c r="C24" s="24">
        <f>COUNTIF('MOBAYE_Cleaned Data'!OO:OO,"infra_endommagee")</f>
        <v>0</v>
      </c>
      <c r="D24" s="24">
        <f>COUNTIF('MOBAYE_Cleaned Data'!OO:OO,"manque_mobilier")</f>
        <v>0</v>
      </c>
      <c r="E24" s="24">
        <f>COUNTIF('MOBAYE_Cleaned Data'!OO:OO,"faibles_capacites_accueil")</f>
        <v>0</v>
      </c>
      <c r="F24" s="24">
        <f>COUNTIF('MOBAYE_Cleaned Data'!OO:OO,"pbs_appro_eau_elec")</f>
        <v>0</v>
      </c>
      <c r="G24" s="24">
        <f>COUNTIF('MOBAYE_Cleaned Data'!OO:OO,"pbs_fin_fonctionnement ")</f>
        <v>0</v>
      </c>
      <c r="H24" s="24">
        <f>COUNTIF('MOBAYE_Cleaned Data'!OO:OO,"pbs_fin_fonctionnement_maintenance")</f>
        <v>0</v>
      </c>
      <c r="I24" s="24">
        <f>COUNTIF('MOBAYE_Cleaned Data'!OO:OO,"pbs_appro_medicaments")</f>
        <v>0</v>
      </c>
      <c r="J24" s="24">
        <f>COUNTIF('MOBAYE_Cleaned Data'!OO:OO,"pbs_personnels_qualifies")</f>
        <v>0</v>
      </c>
      <c r="K24" s="24">
        <f>COUNTIF('MOBAYE_Cleaned Data'!OO:OO,"nsp")</f>
        <v>0</v>
      </c>
      <c r="L24" s="24">
        <f>COUNTIF('MOBAYE_Cleaned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COUNTIF('MOBAYE_Cleaned Data'!OQ:OQ,"moins_six_mois")</f>
        <v>0</v>
      </c>
      <c r="D29" s="3">
        <f>COUNTIF('MOBAYE_Cleaned Data'!OQ:OQ,"six_mois_un_an ")</f>
        <v>0</v>
      </c>
      <c r="E29" s="3">
        <f>COUNTIF('MOBAYE_Cleaned Data'!OQ:OQ,"un_an_trois_ans")</f>
        <v>0</v>
      </c>
      <c r="F29" s="3">
        <f>COUNTIF('MOBAYE_Cleaned Data'!OQ:OQ,"plus_trois_ans")</f>
        <v>0</v>
      </c>
      <c r="G29" s="3">
        <f>COUNTIF('MOBAYE_Cleaned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COUNTIF('MOBAYE_Cleaned Data'!PX:PX,"oui")</f>
        <v>2</v>
      </c>
      <c r="C34" s="3">
        <f>COUNTIF('MOBAYE_Cleaned Data'!PX:PX,"non")</f>
        <v>0</v>
      </c>
      <c r="D34" s="111">
        <f>SUM(B34:C34)</f>
        <v>2</v>
      </c>
    </row>
    <row r="35" spans="1:10" s="36" customFormat="1" ht="37" x14ac:dyDescent="0.3">
      <c r="A35" s="54" t="s">
        <v>3290</v>
      </c>
      <c r="B35" s="94">
        <f>(B34/$E$9)</f>
        <v>1</v>
      </c>
      <c r="C35" s="94">
        <f>(C34/$E$9)</f>
        <v>0</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COUNTIF('MOBAYE_Cleaned Data'!PY:PY,"severes")</f>
        <v>0</v>
      </c>
      <c r="D39" s="77">
        <f>COUNTIF('MOBAYE_Cleaned Data'!PY:PY,"moderes")</f>
        <v>1</v>
      </c>
      <c r="E39" s="77">
        <f>COUNTIF('MOBAYE_Cleaned Data'!PY:PY,"faibles")</f>
        <v>1</v>
      </c>
      <c r="F39" s="111">
        <f>SUM(C39:E39)</f>
        <v>2</v>
      </c>
      <c r="G39" s="74"/>
    </row>
    <row r="40" spans="1:10" ht="47" customHeight="1" x14ac:dyDescent="0.3">
      <c r="B40" s="53" t="s">
        <v>3294</v>
      </c>
      <c r="C40" s="7">
        <f>C39/$B$34</f>
        <v>0</v>
      </c>
      <c r="D40" s="7">
        <f t="shared" ref="D40:E40" si="3">D39/$C$4</f>
        <v>0.5</v>
      </c>
      <c r="E40" s="7">
        <f t="shared" si="3"/>
        <v>0.5</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COUNTIF('MOBAYE_Cleaned Data'!SO:SO,"1")</f>
        <v>1</v>
      </c>
      <c r="C44" s="38">
        <f>COUNTIF('MOBAYE_Cleaned Data'!SP:SP,"1")</f>
        <v>0</v>
      </c>
      <c r="D44" s="38">
        <f>COUNTIF('MOBAYE_Cleaned Data'!SQ:SQ,"1")</f>
        <v>0</v>
      </c>
      <c r="E44" s="38">
        <f>COUNTIF('MOBAYE_Cleaned Data'!SR:SR,"1")</f>
        <v>0</v>
      </c>
      <c r="F44" s="38">
        <f>COUNTIF('MOBAYE_Cleaned Data'!SS:SS,"1")</f>
        <v>0</v>
      </c>
      <c r="G44" s="38">
        <f>COUNTIF('MOBAYE_Cleaned Data'!ST:ST,"1")</f>
        <v>1</v>
      </c>
      <c r="H44" s="38">
        <f>COUNTIF('MOBAYE_Cleaned Data'!SZ:SZ,"1")</f>
        <v>0</v>
      </c>
      <c r="I44" s="38">
        <f>COUNTIF('MOBAYE_Cleaned Data'!SV:SV,"1")</f>
        <v>0</v>
      </c>
      <c r="J44" s="38">
        <f>COUNTIF('MOBAYE_Cleaned Data'!SW:SW,"1")</f>
        <v>0</v>
      </c>
    </row>
    <row r="45" spans="1:10" x14ac:dyDescent="0.3">
      <c r="A45" s="3" t="s">
        <v>1221</v>
      </c>
      <c r="B45" s="7">
        <f>B44/$B$9</f>
        <v>0.5</v>
      </c>
      <c r="C45" s="7">
        <f t="shared" ref="C45:J45" si="4">C44/$B$9</f>
        <v>0</v>
      </c>
      <c r="D45" s="7">
        <f t="shared" si="4"/>
        <v>0</v>
      </c>
      <c r="E45" s="7">
        <f t="shared" si="4"/>
        <v>0</v>
      </c>
      <c r="F45" s="7">
        <f t="shared" si="4"/>
        <v>0</v>
      </c>
      <c r="G45" s="7">
        <f t="shared" si="4"/>
        <v>0.5</v>
      </c>
      <c r="H45" s="7">
        <f t="shared" si="4"/>
        <v>0</v>
      </c>
      <c r="I45" s="7">
        <f t="shared" si="4"/>
        <v>0</v>
      </c>
      <c r="J45" s="7">
        <f t="shared" si="4"/>
        <v>0</v>
      </c>
    </row>
    <row r="46" spans="1:10" x14ac:dyDescent="0.3">
      <c r="A46" s="14"/>
      <c r="B46" s="15"/>
      <c r="C46" s="15"/>
      <c r="D46" s="15"/>
      <c r="J46" s="74"/>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COUNTIF('MOBAYE_Cleaned Data'!PL:PL,"oui")</f>
        <v>2</v>
      </c>
      <c r="C49" s="3">
        <f>COUNTIF('MOBAYE_Cleaned Data'!PL:PL,"non_non_fonctionnelles")</f>
        <v>0</v>
      </c>
      <c r="D49" s="3">
        <f>COUNTIF('MOBAYE_Cleaned Data'!PL:PL,"non_aucun")</f>
        <v>0</v>
      </c>
      <c r="E49" s="111">
        <f>SUM(B49:D49)</f>
        <v>2</v>
      </c>
    </row>
    <row r="50" spans="1:6" s="36" customFormat="1" ht="37" x14ac:dyDescent="0.3">
      <c r="A50" s="54" t="s">
        <v>3290</v>
      </c>
      <c r="B50" s="94">
        <f>(B49/$E$9)</f>
        <v>1</v>
      </c>
      <c r="C50" s="94">
        <f t="shared" ref="C50:D50" si="5">(C49/$E$9)</f>
        <v>0</v>
      </c>
      <c r="D50" s="94">
        <f t="shared" si="5"/>
        <v>0</v>
      </c>
      <c r="E50" s="116">
        <f>SUM(B50:D50)</f>
        <v>1</v>
      </c>
    </row>
    <row r="52" spans="1:6" x14ac:dyDescent="0.3">
      <c r="B52" s="18" t="s">
        <v>1287</v>
      </c>
    </row>
    <row r="53" spans="1:6" x14ac:dyDescent="0.3">
      <c r="B53" s="21">
        <f>AVERAGE('MOBAYE_Cleaned Data'!PM:PM)</f>
        <v>3</v>
      </c>
    </row>
    <row r="54" spans="1:6" x14ac:dyDescent="0.3">
      <c r="B54" s="21"/>
      <c r="F54" s="74"/>
    </row>
    <row r="55" spans="1:6" x14ac:dyDescent="0.3">
      <c r="B55" s="18" t="s">
        <v>1414</v>
      </c>
    </row>
    <row r="56" spans="1:6" x14ac:dyDescent="0.3">
      <c r="B56" s="3"/>
      <c r="C56" s="11" t="s">
        <v>1210</v>
      </c>
      <c r="D56" s="11" t="s">
        <v>1209</v>
      </c>
      <c r="E56" s="110" t="s">
        <v>1206</v>
      </c>
    </row>
    <row r="57" spans="1:6" x14ac:dyDescent="0.3">
      <c r="B57" s="3" t="s">
        <v>1207</v>
      </c>
      <c r="C57" s="3">
        <f>COUNTIF('MOBAYE_Cleaned Data'!PN:PN,"oui")</f>
        <v>2</v>
      </c>
      <c r="D57" s="3">
        <f>COUNTIF('MOBAYE_Cleaned Data'!PN:PN,"non")</f>
        <v>0</v>
      </c>
      <c r="E57" s="111">
        <f>SUM(C57:D57)</f>
        <v>2</v>
      </c>
    </row>
    <row r="58" spans="1:6" ht="37.5" x14ac:dyDescent="0.3">
      <c r="B58" s="53" t="s">
        <v>3296</v>
      </c>
      <c r="C58" s="7">
        <f>(C57/$B$49)</f>
        <v>1</v>
      </c>
      <c r="D58" s="7">
        <f>(D57/$B$49)</f>
        <v>0</v>
      </c>
      <c r="E58" s="116">
        <f>SUM(C58:D58)</f>
        <v>1</v>
      </c>
    </row>
    <row r="60" spans="1:6" x14ac:dyDescent="0.3">
      <c r="C60" s="18" t="s">
        <v>1416</v>
      </c>
      <c r="D60" s="18"/>
      <c r="E60" s="21">
        <f>AVERAGE('MOBAYE_Cleaned Data'!PO:PO)</f>
        <v>1.5</v>
      </c>
      <c r="F60" s="74"/>
    </row>
    <row r="61" spans="1:6" x14ac:dyDescent="0.3">
      <c r="C61" s="18"/>
      <c r="D61" s="18"/>
      <c r="F61" s="74"/>
    </row>
    <row r="62" spans="1:6" x14ac:dyDescent="0.3">
      <c r="C62" s="18" t="s">
        <v>1415</v>
      </c>
      <c r="D62" s="18"/>
      <c r="E62" s="21">
        <f>AVERAGE('MOBAYE_Cleaned Data'!PP:PP)</f>
        <v>1.5</v>
      </c>
      <c r="F62" s="74"/>
    </row>
    <row r="64" spans="1:6" x14ac:dyDescent="0.3">
      <c r="B64" s="18" t="s">
        <v>1417</v>
      </c>
    </row>
    <row r="65" spans="1:8" x14ac:dyDescent="0.3">
      <c r="B65" s="3"/>
      <c r="C65" s="11" t="s">
        <v>1210</v>
      </c>
      <c r="D65" s="11" t="s">
        <v>1209</v>
      </c>
      <c r="E65" s="110" t="s">
        <v>1206</v>
      </c>
    </row>
    <row r="66" spans="1:8" x14ac:dyDescent="0.3">
      <c r="B66" s="3" t="s">
        <v>1207</v>
      </c>
      <c r="C66" s="3">
        <f>COUNTIF('MOBAYE_Cleaned Data'!PQ:PQ,"oui")</f>
        <v>1</v>
      </c>
      <c r="D66" s="3">
        <f>COUNTIF('MOBAYE_Cleaned Data'!PQ:PQ,"non")</f>
        <v>1</v>
      </c>
      <c r="E66" s="111">
        <f>SUM(C66:D66)</f>
        <v>2</v>
      </c>
    </row>
    <row r="67" spans="1:8" ht="37.5" x14ac:dyDescent="0.3">
      <c r="B67" s="53" t="s">
        <v>3296</v>
      </c>
      <c r="C67" s="7">
        <f>(C66/$B$49)</f>
        <v>0.5</v>
      </c>
      <c r="D67" s="7">
        <f>(D66/$B$49)</f>
        <v>0.5</v>
      </c>
      <c r="E67" s="116">
        <f>SUM(C67:D67)</f>
        <v>1</v>
      </c>
    </row>
    <row r="69" spans="1:8" ht="15.5" x14ac:dyDescent="0.35">
      <c r="A69" s="29" t="s">
        <v>1418</v>
      </c>
    </row>
    <row r="70" spans="1:8" x14ac:dyDescent="0.3">
      <c r="A70" s="3"/>
      <c r="B70" s="8" t="s">
        <v>1210</v>
      </c>
      <c r="C70" s="8" t="s">
        <v>1209</v>
      </c>
      <c r="D70" s="110" t="s">
        <v>1206</v>
      </c>
    </row>
    <row r="71" spans="1:8" x14ac:dyDescent="0.3">
      <c r="A71" s="3" t="s">
        <v>1207</v>
      </c>
      <c r="B71" s="3">
        <f>COUNTIF('MOBAYE_Cleaned Data'!PR:PR,"oui")</f>
        <v>1</v>
      </c>
      <c r="C71" s="3">
        <f>COUNTIF('MOBAYE_Cleaned Data'!PR:PR,"non")</f>
        <v>1</v>
      </c>
      <c r="D71" s="111">
        <f>SUM(B71:C71)</f>
        <v>2</v>
      </c>
    </row>
    <row r="72" spans="1:8" s="36" customFormat="1" ht="37" x14ac:dyDescent="0.3">
      <c r="A72" s="54" t="s">
        <v>3290</v>
      </c>
      <c r="B72" s="94">
        <f>(B71/$E$9)</f>
        <v>0.5</v>
      </c>
      <c r="C72" s="94">
        <f>(C71/$E$9)</f>
        <v>0.5</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COUNTIF('MOBAYE_Cleaned Data'!PS:PS,"acces_direct")</f>
        <v>0</v>
      </c>
      <c r="D76" s="3">
        <f>COUNTIF('MOBAYE_Cleaned Data'!PS:PS,"acces_communautaire")</f>
        <v>1</v>
      </c>
      <c r="E76" s="3">
        <f>COUNTIF('MOBAYE_Cleaned Data'!PS:PS,"camion")</f>
        <v>0</v>
      </c>
      <c r="F76" s="3">
        <f>COUNTIF('MOBAYE_Cleaned Data'!PS:PS,"nsp")</f>
        <v>0</v>
      </c>
      <c r="G76" s="3">
        <f>COUNTIF('MOBAYE_Cleaned Data'!PS:PS,"autre")</f>
        <v>0</v>
      </c>
      <c r="H76" s="111">
        <f>SUM(C76:G76)</f>
        <v>1</v>
      </c>
    </row>
    <row r="77" spans="1:8" ht="48.5" x14ac:dyDescent="0.3">
      <c r="B77" s="54" t="s">
        <v>3297</v>
      </c>
      <c r="C77" s="94">
        <f>C76/$B$71</f>
        <v>0</v>
      </c>
      <c r="D77" s="94">
        <f t="shared" ref="D77:G77" si="6">D76/$B$71</f>
        <v>1</v>
      </c>
      <c r="E77" s="94">
        <f t="shared" si="6"/>
        <v>0</v>
      </c>
      <c r="F77" s="94">
        <f t="shared" si="6"/>
        <v>0</v>
      </c>
      <c r="G77" s="94">
        <f t="shared" si="6"/>
        <v>0</v>
      </c>
      <c r="H77" s="116">
        <f>SUM(C77:G77)</f>
        <v>1</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COUNTIF('MOBAYE_Cleaned Data'!PU:PU,"oui")</f>
        <v>1</v>
      </c>
      <c r="C81" s="3">
        <f>COUNTIF('MOBAYE_Cleaned Data'!PU:PU,"non")</f>
        <v>1</v>
      </c>
      <c r="D81" s="111">
        <f>SUM(B81:C81)</f>
        <v>2</v>
      </c>
    </row>
    <row r="82" spans="1:14" s="36" customFormat="1" ht="37" x14ac:dyDescent="0.3">
      <c r="A82" s="54" t="s">
        <v>3290</v>
      </c>
      <c r="B82" s="94">
        <f>(B81/$E$9)</f>
        <v>0.5</v>
      </c>
      <c r="C82" s="94">
        <f>(C81/$E$9)</f>
        <v>0.5</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COUNTIF('MOBAYE_Cleaned Data'!PV:PV,"oui")</f>
        <v>1</v>
      </c>
      <c r="D86" s="3">
        <f>COUNTIF('MOBAYE_Cleaned Data'!PV:PV,"non_panne")</f>
        <v>0</v>
      </c>
      <c r="E86" s="3">
        <f>COUNTIF('MOBAYE_Cleaned Data'!PV:PV,"non_essence")</f>
        <v>0</v>
      </c>
      <c r="F86" s="3">
        <f>COUNTIF('MOBAYE_Cleaned Data'!PV:PV,"non_equipement")</f>
        <v>0</v>
      </c>
      <c r="G86" s="111">
        <f>SUM(C86:F86)</f>
        <v>1</v>
      </c>
    </row>
    <row r="87" spans="1:14" ht="37" x14ac:dyDescent="0.3">
      <c r="B87" s="54" t="s">
        <v>3298</v>
      </c>
      <c r="C87" s="94">
        <f>(C86/$B$81)</f>
        <v>1</v>
      </c>
      <c r="D87" s="94">
        <f t="shared" ref="D87:F87" si="7">(D86/$B$81)</f>
        <v>0</v>
      </c>
      <c r="E87" s="94">
        <f t="shared" si="7"/>
        <v>0</v>
      </c>
      <c r="F87" s="94">
        <f t="shared" si="7"/>
        <v>0</v>
      </c>
      <c r="G87" s="100">
        <f>SUM(C87:F87)</f>
        <v>1</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COUNTIF('MOBAYE_Cleaned Data'!QA:QA,"1")</f>
        <v>2</v>
      </c>
      <c r="C92" s="3">
        <f>COUNTIF('MOBAYE_Cleaned Data'!QN:QN,"1")</f>
        <v>1</v>
      </c>
      <c r="D92" s="3">
        <f>COUNTIF('MOBAYE_Cleaned Data'!QB:QB,"1")</f>
        <v>1</v>
      </c>
      <c r="E92" s="3">
        <f>COUNTIF('MOBAYE_Cleaned Data'!QC:QC,"1")</f>
        <v>1</v>
      </c>
      <c r="F92" s="3">
        <f>COUNTIF('MOBAYE_Cleaned Data'!QD:QD,"1")</f>
        <v>2</v>
      </c>
      <c r="G92" s="3">
        <f>COUNTIF('MOBAYE_Cleaned Data'!QE:QE,"1")</f>
        <v>1</v>
      </c>
      <c r="H92" s="3">
        <f>COUNTIF('MOBAYE_Cleaned Data'!QF:QF,"1")</f>
        <v>1</v>
      </c>
      <c r="I92" s="3">
        <f>COUNTIF('MOBAYE_Cleaned Data'!QG:QG,"1")</f>
        <v>1</v>
      </c>
      <c r="J92" s="3">
        <f>COUNTIF('MOBAYE_Cleaned Data'!QH:QH,"1")</f>
        <v>1</v>
      </c>
      <c r="K92" s="3">
        <f>COUNTIF('MOBAYE_Cleaned Data'!QJ:QJ,"1")</f>
        <v>2</v>
      </c>
      <c r="L92" s="3">
        <f>COUNTIF('MOBAYE_Cleaned Data'!QK:QK,"1")</f>
        <v>1</v>
      </c>
      <c r="M92" s="3">
        <f>COUNTIF('MOBAYE_Cleaned Data'!QL:QL,"1")</f>
        <v>1</v>
      </c>
      <c r="N92" s="3">
        <f>COUNTIF('MOBAYE_Cleaned Data'!QM:QM,"1")</f>
        <v>0</v>
      </c>
    </row>
    <row r="93" spans="1:14" s="36" customFormat="1" ht="37" x14ac:dyDescent="0.35">
      <c r="A93" s="54" t="s">
        <v>3301</v>
      </c>
      <c r="B93" s="55">
        <f t="shared" ref="B93:N93" si="8">(B92/$E$9)</f>
        <v>1</v>
      </c>
      <c r="C93" s="55">
        <f t="shared" si="8"/>
        <v>0.5</v>
      </c>
      <c r="D93" s="55">
        <f t="shared" si="8"/>
        <v>0.5</v>
      </c>
      <c r="E93" s="55">
        <f t="shared" si="8"/>
        <v>0.5</v>
      </c>
      <c r="F93" s="55">
        <f t="shared" si="8"/>
        <v>1</v>
      </c>
      <c r="G93" s="55">
        <f t="shared" si="8"/>
        <v>0.5</v>
      </c>
      <c r="H93" s="55">
        <f t="shared" si="8"/>
        <v>0.5</v>
      </c>
      <c r="I93" s="55">
        <f t="shared" si="8"/>
        <v>0.5</v>
      </c>
      <c r="J93" s="55">
        <f t="shared" si="8"/>
        <v>0.5</v>
      </c>
      <c r="K93" s="55">
        <f t="shared" si="8"/>
        <v>1</v>
      </c>
      <c r="L93" s="55">
        <f t="shared" si="8"/>
        <v>0.5</v>
      </c>
      <c r="M93" s="55">
        <f t="shared" si="8"/>
        <v>0.5</v>
      </c>
      <c r="N93" s="55">
        <f t="shared" si="8"/>
        <v>0</v>
      </c>
    </row>
    <row r="94" spans="1:14" x14ac:dyDescent="0.3">
      <c r="A94" s="14"/>
      <c r="B94" s="14"/>
      <c r="C94" s="14"/>
      <c r="D94" s="14"/>
      <c r="E94" s="14"/>
      <c r="F94" s="14"/>
      <c r="G94" s="14"/>
      <c r="H94" s="14"/>
      <c r="I94" s="14"/>
      <c r="J94" s="14"/>
      <c r="K94" s="14"/>
      <c r="L94" s="14"/>
      <c r="M94" s="14"/>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COUNTIF('MOBAYE_Cleaned Data'!TB:TB,"oui")</f>
        <v>1</v>
      </c>
      <c r="C97" s="3">
        <f>COUNTIF('MOBAYE_Cleaned Data'!TB:TB,"oui_exception")</f>
        <v>1</v>
      </c>
      <c r="D97" s="3">
        <f>COUNTIF('MOBAYE_Cleaned Data'!TB:TB,"non")</f>
        <v>0</v>
      </c>
      <c r="E97" s="111">
        <f>SUM(B97:D97)</f>
        <v>2</v>
      </c>
      <c r="F97" s="14"/>
      <c r="G97" s="14"/>
      <c r="H97" s="14"/>
      <c r="I97" s="14"/>
      <c r="J97" s="14"/>
      <c r="K97" s="14"/>
      <c r="L97" s="14"/>
      <c r="M97" s="14"/>
    </row>
    <row r="98" spans="1:13" s="36" customFormat="1" ht="37" x14ac:dyDescent="0.3">
      <c r="A98" s="54" t="s">
        <v>3301</v>
      </c>
      <c r="B98" s="120">
        <f>(B97/$E$9)</f>
        <v>0.5</v>
      </c>
      <c r="C98" s="120">
        <f t="shared" ref="C98:D98" si="9">(C97/$E$9)</f>
        <v>0.5</v>
      </c>
      <c r="D98" s="120">
        <f t="shared" si="9"/>
        <v>0</v>
      </c>
      <c r="E98" s="100">
        <f>SUM(B98:D98)</f>
        <v>1</v>
      </c>
      <c r="F98" s="47"/>
      <c r="G98" s="47"/>
      <c r="H98" s="47"/>
      <c r="I98" s="47"/>
      <c r="J98" s="47"/>
      <c r="K98" s="47"/>
      <c r="L98" s="47"/>
      <c r="M98" s="47"/>
    </row>
    <row r="99" spans="1:13" x14ac:dyDescent="0.3">
      <c r="A99" s="14"/>
      <c r="B99" s="15"/>
      <c r="C99" s="87"/>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COUNTIF('MOBAYE_Cleaned Data'!TJ:TJ,"oui")</f>
        <v>1</v>
      </c>
      <c r="D103" s="3">
        <f>COUNTIF('MOBAYE_Cleaned Data'!TJ:TJ,"non")</f>
        <v>1</v>
      </c>
      <c r="E103" s="111">
        <f>SUM(C103:D103)</f>
        <v>2</v>
      </c>
      <c r="F103" s="76"/>
      <c r="G103" s="14"/>
      <c r="H103" s="14"/>
      <c r="I103" s="14"/>
      <c r="J103" s="14"/>
      <c r="K103" s="14"/>
      <c r="L103" s="14"/>
      <c r="M103" s="14"/>
    </row>
    <row r="104" spans="1:13" ht="40.5" customHeight="1" x14ac:dyDescent="0.3">
      <c r="A104" s="14"/>
      <c r="B104" s="121" t="s">
        <v>3302</v>
      </c>
      <c r="C104" s="39">
        <f>(C103/($B$97+$C$97))</f>
        <v>0.5</v>
      </c>
      <c r="D104" s="39">
        <f>(D103/($B$97+$C$97))</f>
        <v>0.5</v>
      </c>
      <c r="E104" s="100">
        <f>SUM(C104:D104)</f>
        <v>1</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
        <f>COUNTIF('MOBAYE_Cleaned Data'!TK:TK,"bcp_diminue")</f>
        <v>0</v>
      </c>
      <c r="E108" s="3">
        <f>COUNTIF('MOBAYE_Cleaned Data'!TK:TK,"peu_diminue")</f>
        <v>0</v>
      </c>
      <c r="F108" s="3">
        <f>COUNTIF('MOBAYE_Cleaned Data'!TK:TK,"bcp_augmente")</f>
        <v>0</v>
      </c>
      <c r="G108" s="3">
        <f>COUNTIF('MOBAYE_Cleaned Data'!TK:TK,"peu_augmente")</f>
        <v>1</v>
      </c>
      <c r="H108" s="76"/>
      <c r="J108" s="14"/>
      <c r="K108" s="76"/>
      <c r="L108" s="14"/>
      <c r="M108" s="14"/>
    </row>
    <row r="109" spans="1:13" ht="60.5" x14ac:dyDescent="0.3">
      <c r="A109" s="14"/>
      <c r="B109" s="15"/>
      <c r="C109" s="121" t="s">
        <v>3302</v>
      </c>
      <c r="D109" s="39">
        <f>(D108/$C$103)</f>
        <v>0</v>
      </c>
      <c r="E109" s="39">
        <f>(E108/$C$103)</f>
        <v>0</v>
      </c>
      <c r="F109" s="39">
        <f>(F108/$C$103)</f>
        <v>0</v>
      </c>
      <c r="G109" s="39">
        <f>(G108/$C$103)</f>
        <v>1</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COUNTIF('MOBAYE_Cleaned Data'!TW:TW,"1")</f>
        <v>0</v>
      </c>
      <c r="E113" s="24">
        <f>COUNTIF('MOBAYE_Cleaned Data'!TX:TX,"1")</f>
        <v>0</v>
      </c>
      <c r="F113" s="24">
        <f>COUNTIF('MOBAYE_Cleaned Data'!TY:TY,"1")</f>
        <v>0</v>
      </c>
      <c r="G113" s="24">
        <f>COUNTIF('MOBAYE_Cleaned Data'!TZ:TZ,"1")</f>
        <v>0</v>
      </c>
      <c r="H113" s="24">
        <f>COUNTIF('MOBAYE_Cleaned Data'!UA:UA,"1")</f>
        <v>0</v>
      </c>
      <c r="I113" s="24">
        <f>COUNTIF('MOBAYE_Cleaned Data'!UB:UB,"1")</f>
        <v>0</v>
      </c>
      <c r="J113" s="24">
        <f>COUNTIF('MOBAYE_Cleaned Data'!UC:UC,"1")</f>
        <v>0</v>
      </c>
      <c r="K113" s="24">
        <f>COUNTIF('MOBAYE_Cleaned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COUNTIF('MOBAYE_Cleaned Data'!TM:TM,"1")</f>
        <v>0</v>
      </c>
      <c r="E118" s="24">
        <f>COUNTIF('MOBAYE_Cleaned Data'!TN:TN,"1")</f>
        <v>0</v>
      </c>
      <c r="F118" s="24">
        <f>COUNTIF('MOBAYE_Cleaned Data'!TO:TO,"1")</f>
        <v>0</v>
      </c>
      <c r="G118" s="24">
        <f>COUNTIF('MOBAYE_Cleaned Data'!TP:TP,"1")</f>
        <v>1</v>
      </c>
      <c r="H118" s="24">
        <f>COUNTIF('MOBAYE_Cleaned Data'!TQ:TQ,"1")</f>
        <v>0</v>
      </c>
      <c r="I118" s="24">
        <f>COUNTIF('MOBAYE_Cleaned Data'!TR:TR,"1")</f>
        <v>0</v>
      </c>
      <c r="J118" s="24">
        <f>COUNTIF('MOBAYE_Cleaned Data'!TS:TS,"1")</f>
        <v>0</v>
      </c>
      <c r="K118" s="24">
        <f>COUNTIF('MOBAYE_Cleaned Data'!TT:TT,"1")</f>
        <v>0</v>
      </c>
      <c r="L118" s="14"/>
      <c r="M118" s="14"/>
    </row>
    <row r="119" spans="1:13" ht="60.5" x14ac:dyDescent="0.3">
      <c r="A119" s="14"/>
      <c r="B119" s="15"/>
      <c r="C119" s="121" t="s">
        <v>3304</v>
      </c>
      <c r="D119" s="39">
        <f>D118/(F108+G108)</f>
        <v>0</v>
      </c>
      <c r="E119" s="39">
        <f>E118/(F108+G108)</f>
        <v>0</v>
      </c>
      <c r="F119" s="39">
        <f>F118/(F108+G108)</f>
        <v>0</v>
      </c>
      <c r="G119" s="39">
        <f>G118/(F108+G108)</f>
        <v>1</v>
      </c>
      <c r="H119" s="39">
        <f>H118/(F108+G108)</f>
        <v>0</v>
      </c>
      <c r="I119" s="39">
        <f>I118/(F108+G108)</f>
        <v>0</v>
      </c>
      <c r="J119" s="39">
        <f>J118/(F108+G108)</f>
        <v>0</v>
      </c>
      <c r="K119" s="39">
        <f>K118/(F108+G108)</f>
        <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COUNTIF('MOBAYE_Cleaned Data'!QR:QR,"1")</f>
        <v>2</v>
      </c>
      <c r="C123" s="3">
        <f>COUNTIF('MOBAYE_Cleaned Data'!QS:QS,"1")</f>
        <v>2</v>
      </c>
      <c r="D123" s="3">
        <f>COUNTIF('MOBAYE_Cleaned Data'!QV:QV,"1")</f>
        <v>2</v>
      </c>
      <c r="E123" s="3">
        <f>COUNTIF('MOBAYE_Cleaned Data'!QW:QW,"1")</f>
        <v>2</v>
      </c>
      <c r="F123" s="3">
        <f>COUNTIF('MOBAYE_Cleaned Data'!QT:QT,"1")</f>
        <v>0</v>
      </c>
      <c r="G123" s="3">
        <f>COUNTIF('MOBAYE_Cleaned Data'!QU:QU,"1")</f>
        <v>0</v>
      </c>
    </row>
    <row r="124" spans="1:13" s="36" customFormat="1" ht="37" x14ac:dyDescent="0.3">
      <c r="A124" s="54" t="s">
        <v>3301</v>
      </c>
      <c r="B124" s="94">
        <f>B123/$E$9</f>
        <v>1</v>
      </c>
      <c r="C124" s="94">
        <f t="shared" ref="C124:G124" si="10">C123/$E$9</f>
        <v>1</v>
      </c>
      <c r="D124" s="94">
        <f t="shared" si="10"/>
        <v>1</v>
      </c>
      <c r="E124" s="94">
        <f t="shared" si="10"/>
        <v>1</v>
      </c>
      <c r="F124" s="94">
        <f t="shared" si="10"/>
        <v>0</v>
      </c>
      <c r="G124" s="94">
        <f t="shared" si="10"/>
        <v>0</v>
      </c>
    </row>
    <row r="125" spans="1:13" x14ac:dyDescent="0.3">
      <c r="G125" s="74"/>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COUNTIF('MOBAYE_Cleaned Data'!QY:QY,"oui")</f>
        <v>1</v>
      </c>
      <c r="C129" s="3">
        <f>COUNTIF('MOBAYE_Cleaned Data'!QY:QY,"non")</f>
        <v>1</v>
      </c>
      <c r="D129" s="111">
        <f>SUM(B129:C129)</f>
        <v>2</v>
      </c>
    </row>
    <row r="130" spans="1:6" s="36" customFormat="1" ht="37" x14ac:dyDescent="0.3">
      <c r="A130" s="54" t="s">
        <v>3301</v>
      </c>
      <c r="B130" s="94">
        <f>(B129/$E$9)</f>
        <v>0.5</v>
      </c>
      <c r="C130" s="94">
        <f>(C129/$E$9)</f>
        <v>0.5</v>
      </c>
      <c r="D130" s="100">
        <f>SUM(B130:C130)</f>
        <v>1</v>
      </c>
    </row>
    <row r="132" spans="1:6" x14ac:dyDescent="0.3">
      <c r="B132" s="18" t="s">
        <v>1435</v>
      </c>
      <c r="D132" s="103" t="s">
        <v>3245</v>
      </c>
      <c r="E132" s="21"/>
    </row>
    <row r="133" spans="1:6" ht="28" x14ac:dyDescent="0.3">
      <c r="B133" s="6" t="s">
        <v>1436</v>
      </c>
      <c r="C133" s="6" t="s">
        <v>1437</v>
      </c>
      <c r="D133" s="6" t="s">
        <v>1438</v>
      </c>
      <c r="E133" s="6" t="s">
        <v>3259</v>
      </c>
      <c r="F133" s="6" t="s">
        <v>1205</v>
      </c>
    </row>
    <row r="134" spans="1:6" x14ac:dyDescent="0.3">
      <c r="B134" s="3">
        <f>COUNTIF('MOBAYE_Cleaned Data'!RA:RA,"1")</f>
        <v>1</v>
      </c>
      <c r="C134" s="3">
        <f>COUNTIF('MOBAYE_Cleaned Data'!RB:RB,"1")</f>
        <v>0</v>
      </c>
      <c r="D134" s="3">
        <f>COUNTIF('MOBAYE_Cleaned Data'!RC:RC,"1")</f>
        <v>0</v>
      </c>
      <c r="E134" s="3">
        <f>COUNTIF('MOBAYE_Cleaned Data'!RD:RD,"1")</f>
        <v>0</v>
      </c>
      <c r="F134" s="3">
        <f>COUNTIF('MOBAYE_Cleaned Data'!RE:RE,"1")</f>
        <v>0</v>
      </c>
    </row>
    <row r="137" spans="1:6" x14ac:dyDescent="0.3">
      <c r="A137" s="21" t="s">
        <v>1302</v>
      </c>
    </row>
    <row r="138" spans="1:6" ht="33.5" customHeight="1" x14ac:dyDescent="0.3">
      <c r="A138" s="154" t="s">
        <v>1439</v>
      </c>
      <c r="B138" s="154"/>
      <c r="C138" s="154"/>
      <c r="D138" s="154"/>
      <c r="E138" s="44">
        <f>AVERAGE('MOBAYE_Cleaned Data'!RG:RG)</f>
        <v>55</v>
      </c>
    </row>
    <row r="140" spans="1:6" ht="15.5" x14ac:dyDescent="0.35">
      <c r="A140" s="29" t="s">
        <v>1440</v>
      </c>
    </row>
    <row r="141" spans="1:6" x14ac:dyDescent="0.3">
      <c r="A141" s="3"/>
      <c r="B141" s="8" t="s">
        <v>1210</v>
      </c>
      <c r="C141" s="8" t="s">
        <v>1209</v>
      </c>
      <c r="D141" s="110" t="s">
        <v>1206</v>
      </c>
    </row>
    <row r="142" spans="1:6" x14ac:dyDescent="0.3">
      <c r="A142" s="3" t="s">
        <v>1207</v>
      </c>
      <c r="B142" s="3">
        <f>COUNTIF('MOBAYE_Cleaned Data'!RH:RH,"oui")</f>
        <v>2</v>
      </c>
      <c r="C142" s="3">
        <f>COUNTIF('MOBAYE_Cleaned Data'!RH:RH,"non")</f>
        <v>0</v>
      </c>
      <c r="D142" s="111">
        <f>SUM(B142:C142)</f>
        <v>2</v>
      </c>
    </row>
    <row r="143" spans="1:6" s="36" customFormat="1" ht="37" x14ac:dyDescent="0.3">
      <c r="A143" s="54" t="s">
        <v>3301</v>
      </c>
      <c r="B143" s="94">
        <f>(B142/$E$9)</f>
        <v>1</v>
      </c>
      <c r="C143" s="94">
        <f>(C142/$E$9)</f>
        <v>0</v>
      </c>
      <c r="D143" s="100">
        <f>SUM(B143:C143)</f>
        <v>1</v>
      </c>
    </row>
    <row r="145" spans="1:13" x14ac:dyDescent="0.3">
      <c r="B145" s="18" t="s">
        <v>1441</v>
      </c>
    </row>
    <row r="146" spans="1:13" ht="28" x14ac:dyDescent="0.3">
      <c r="B146" s="3"/>
      <c r="C146" s="12" t="s">
        <v>1226</v>
      </c>
      <c r="D146" s="12" t="s">
        <v>1405</v>
      </c>
      <c r="E146" s="12" t="s">
        <v>1225</v>
      </c>
      <c r="F146" s="12" t="s">
        <v>1404</v>
      </c>
      <c r="G146" s="110" t="s">
        <v>1206</v>
      </c>
    </row>
    <row r="147" spans="1:13" x14ac:dyDescent="0.3">
      <c r="B147" s="3" t="s">
        <v>1207</v>
      </c>
      <c r="C147" s="3">
        <f>COUNTIF('MOBAYE_Cleaned Data'!RI:RI,"bcp_diminue")</f>
        <v>0</v>
      </c>
      <c r="D147" s="3">
        <f>COUNTIF('MOBAYE_Cleaned Data'!RI:RI,"peu_diminue")</f>
        <v>1</v>
      </c>
      <c r="E147" s="3">
        <f>COUNTIF('MOBAYE_Cleaned Data'!RI:RI,"bcp_augmente")</f>
        <v>0</v>
      </c>
      <c r="F147" s="3">
        <f>COUNTIF('MOBAYE_Cleaned Data'!RI:RI,"peu_augmente")</f>
        <v>1</v>
      </c>
      <c r="G147" s="111">
        <f>SUM(C147:F147)</f>
        <v>2</v>
      </c>
    </row>
    <row r="148" spans="1:13" ht="49" x14ac:dyDescent="0.3">
      <c r="B148" s="53" t="s">
        <v>3306</v>
      </c>
      <c r="C148" s="7">
        <f>(C147/$B$142)</f>
        <v>0</v>
      </c>
      <c r="D148" s="7">
        <f>(D147/$B$142)</f>
        <v>0.5</v>
      </c>
      <c r="E148" s="7">
        <f>(E147/$B$142)</f>
        <v>0</v>
      </c>
      <c r="F148" s="7">
        <f>(F147/$B$142)</f>
        <v>0.5</v>
      </c>
      <c r="G148" s="100">
        <f>SUM(C148:F148)</f>
        <v>1</v>
      </c>
    </row>
    <row r="150" spans="1:13" x14ac:dyDescent="0.3">
      <c r="C150" s="18" t="s">
        <v>1310</v>
      </c>
      <c r="E150" s="103" t="s">
        <v>3245</v>
      </c>
    </row>
    <row r="151" spans="1:13"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3" x14ac:dyDescent="0.3">
      <c r="C152" s="3" t="s">
        <v>1207</v>
      </c>
      <c r="D152" s="3">
        <f>COUNTIF('MOBAYE_Cleaned Data'!RW:RW,"1")</f>
        <v>0</v>
      </c>
      <c r="E152" s="3">
        <f>COUNTIF('MOBAYE_Cleaned Data'!RX:RX,"1")</f>
        <v>0</v>
      </c>
      <c r="F152" s="3">
        <f>COUNTIF('MOBAYE_Cleaned Data'!RY:RY,"1")</f>
        <v>1</v>
      </c>
      <c r="G152" s="3">
        <f>COUNTIF('MOBAYE_Cleaned Data'!RZ:RZ,"1")</f>
        <v>0</v>
      </c>
      <c r="H152" s="3">
        <f>COUNTIF('MOBAYE_Cleaned Data'!SA:SA,"1")</f>
        <v>0</v>
      </c>
      <c r="I152" s="3">
        <f>COUNTIF('MOBAYE_Cleaned Data'!SB:SB,"1")</f>
        <v>0</v>
      </c>
      <c r="J152" s="3">
        <f>COUNTIF('MOBAYE_Cleaned Data'!SC:SC,"1")</f>
        <v>0</v>
      </c>
    </row>
    <row r="153" spans="1:13" ht="49" x14ac:dyDescent="0.3">
      <c r="C153" s="53" t="s">
        <v>3307</v>
      </c>
      <c r="D153" s="78">
        <f>D152/(C147+D147)</f>
        <v>0</v>
      </c>
      <c r="E153" s="78">
        <f>E152/(C147+D147)</f>
        <v>0</v>
      </c>
      <c r="F153" s="78">
        <f>F152/(C147+D147)</f>
        <v>1</v>
      </c>
      <c r="G153" s="78">
        <f>G152/(C147+D147)</f>
        <v>0</v>
      </c>
      <c r="H153" s="78">
        <f>H152/(C147+D147)</f>
        <v>0</v>
      </c>
      <c r="I153" s="78">
        <f>I152/(C147+D147)</f>
        <v>0</v>
      </c>
      <c r="J153" s="78">
        <f>J152/(C147+D147)</f>
        <v>0</v>
      </c>
    </row>
    <row r="154" spans="1:13" x14ac:dyDescent="0.3">
      <c r="C154" s="14"/>
      <c r="D154" s="14"/>
      <c r="E154" s="14"/>
      <c r="F154" s="14"/>
      <c r="G154" s="14"/>
      <c r="H154" s="14"/>
      <c r="I154" s="14"/>
      <c r="J154" s="14"/>
    </row>
    <row r="155" spans="1:13" x14ac:dyDescent="0.3">
      <c r="C155" s="18" t="s">
        <v>1227</v>
      </c>
      <c r="E155" s="103" t="s">
        <v>3245</v>
      </c>
    </row>
    <row r="156" spans="1:13" s="36" customFormat="1" ht="73.5" customHeight="1" x14ac:dyDescent="0.3">
      <c r="C156" s="3"/>
      <c r="D156" s="11" t="s">
        <v>1228</v>
      </c>
      <c r="E156" s="11" t="s">
        <v>2340</v>
      </c>
      <c r="F156" s="11" t="s">
        <v>1442</v>
      </c>
      <c r="G156" s="11" t="s">
        <v>1443</v>
      </c>
      <c r="H156" s="11" t="s">
        <v>1444</v>
      </c>
      <c r="I156" s="11" t="s">
        <v>1445</v>
      </c>
      <c r="J156" s="11" t="s">
        <v>1446</v>
      </c>
      <c r="K156" s="11" t="s">
        <v>1447</v>
      </c>
      <c r="L156" s="11" t="s">
        <v>1905</v>
      </c>
      <c r="M156" s="11" t="s">
        <v>1220</v>
      </c>
    </row>
    <row r="157" spans="1:13" x14ac:dyDescent="0.3">
      <c r="C157" s="3" t="s">
        <v>1207</v>
      </c>
      <c r="D157" s="3">
        <f>COUNTIF('MOBAYE_Cleaned Data'!RK:RK,"1")</f>
        <v>0</v>
      </c>
      <c r="E157" s="3">
        <f>COUNTIF('MOBAYE_Cleaned Data'!RL:RL,"1")</f>
        <v>1</v>
      </c>
      <c r="F157" s="3">
        <f>COUNTIF('MOBAYE_Cleaned Data'!RM:RM,"1")</f>
        <v>0</v>
      </c>
      <c r="G157" s="3">
        <f>COUNTIF('MOBAYE_Cleaned Data'!RN:RN,"1")</f>
        <v>0</v>
      </c>
      <c r="H157" s="3">
        <f>COUNTIF('MOBAYE_Cleaned Data'!RO:RO,"1")</f>
        <v>0</v>
      </c>
      <c r="I157" s="3">
        <f>COUNTIF('MOBAYE_Cleaned Data'!RP:RP,"1")</f>
        <v>0</v>
      </c>
      <c r="J157" s="3">
        <f>COUNTIF('MOBAYE_Cleaned Data'!RQ:RQ,"1")</f>
        <v>0</v>
      </c>
      <c r="K157" s="3">
        <f>COUNTIF('MOBAYE_Cleaned Data'!RR:RR,"1")</f>
        <v>0</v>
      </c>
      <c r="L157" s="3">
        <f>COUNTIF('MOBAYE_Cleaned Data'!RS:RS,"1")</f>
        <v>0</v>
      </c>
      <c r="M157" s="3">
        <f>COUNTIF('MOBAYE_Cleaned Data'!RT:RT,"1")</f>
        <v>0</v>
      </c>
    </row>
    <row r="158" spans="1:13" ht="49" x14ac:dyDescent="0.3">
      <c r="C158" s="53" t="s">
        <v>3308</v>
      </c>
      <c r="D158" s="7">
        <f>D157/(E147+F147)</f>
        <v>0</v>
      </c>
      <c r="E158" s="7">
        <f>E157/(E147+F147)</f>
        <v>1</v>
      </c>
      <c r="F158" s="7">
        <f>F157/(E147+F147)</f>
        <v>0</v>
      </c>
      <c r="G158" s="7">
        <f>G157/(E147+F147)</f>
        <v>0</v>
      </c>
      <c r="H158" s="7">
        <f>H157/(E147+F147)</f>
        <v>0</v>
      </c>
      <c r="I158" s="7">
        <f>I157/(E147+F147)</f>
        <v>0</v>
      </c>
      <c r="J158" s="7">
        <f>J157/(E147+F147)</f>
        <v>0</v>
      </c>
      <c r="K158" s="7">
        <f>K157/(E147+F147)</f>
        <v>0</v>
      </c>
      <c r="L158" s="7">
        <f>L157/(E147+F147)</f>
        <v>0</v>
      </c>
      <c r="M158" s="7">
        <f>M157/(E147+F147)</f>
        <v>0</v>
      </c>
    </row>
    <row r="159" spans="1:13" x14ac:dyDescent="0.3">
      <c r="C159" s="50"/>
    </row>
    <row r="160" spans="1:13"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COUNTIF('MOBAYE_Cleaned Data'!SE:SE,"fortement_sur:utilise")</f>
        <v>1</v>
      </c>
      <c r="C162" s="3">
        <f>COUNTIF('MOBAYE_Cleaned Data'!SE:SE,"sur_utilise")</f>
        <v>0</v>
      </c>
      <c r="D162" s="3">
        <f>COUNTIF('MOBAYE_Cleaned Data'!SE:SE,"ok")</f>
        <v>1</v>
      </c>
      <c r="E162" s="3">
        <f>COUNTIF('MOBAYE_Cleaned Data'!SE:SE,"sous_utilise")</f>
        <v>0</v>
      </c>
      <c r="F162" s="3">
        <f>COUNTIF('MOBAYE_Cleaned Data'!SE:SE,"fortement_sous_utilise")</f>
        <v>0</v>
      </c>
      <c r="G162" s="3">
        <f>COUNTIF('MOBAYE_Cleaned Data'!SE:SE,"nsp")</f>
        <v>0</v>
      </c>
      <c r="H162" s="111">
        <f>SUM(B162:G162)</f>
        <v>2</v>
      </c>
    </row>
    <row r="163" spans="1:8" s="36" customFormat="1" ht="37" x14ac:dyDescent="0.3">
      <c r="A163" s="54" t="s">
        <v>3301</v>
      </c>
      <c r="B163" s="94">
        <f>B162/$E$9</f>
        <v>0.5</v>
      </c>
      <c r="C163" s="94">
        <f t="shared" ref="C163:G163" si="11">C162/$E$9</f>
        <v>0</v>
      </c>
      <c r="D163" s="94">
        <f t="shared" si="11"/>
        <v>0.5</v>
      </c>
      <c r="E163" s="94">
        <f t="shared" si="11"/>
        <v>0</v>
      </c>
      <c r="F163" s="94">
        <f t="shared" si="11"/>
        <v>0</v>
      </c>
      <c r="G163" s="94">
        <f t="shared" si="11"/>
        <v>0</v>
      </c>
      <c r="H163" s="100">
        <f>SUM(B163:G163)</f>
        <v>1</v>
      </c>
    </row>
    <row r="166" spans="1:8" ht="15.5" x14ac:dyDescent="0.3">
      <c r="A166" s="80" t="s">
        <v>1454</v>
      </c>
      <c r="E166" s="132">
        <f>AVERAGE('MOBAYE_Cleaned Data'!SF:SF)</f>
        <v>21</v>
      </c>
    </row>
    <row r="167" spans="1:8" ht="15.5" x14ac:dyDescent="0.35">
      <c r="A167" s="79" t="s">
        <v>1455</v>
      </c>
      <c r="E167" s="21">
        <f>AVERAGE('MOBAYE_Cleaned Data'!SG:SG)</f>
        <v>0.5</v>
      </c>
    </row>
    <row r="168" spans="1:8" ht="15.5" x14ac:dyDescent="0.35">
      <c r="A168" s="29" t="s">
        <v>1456</v>
      </c>
      <c r="E168" s="10">
        <f>AVERAGE('MOBAYE_Cleaned Data'!SH:SH)</f>
        <v>1</v>
      </c>
    </row>
    <row r="169" spans="1:8" ht="15.5" x14ac:dyDescent="0.35">
      <c r="A169" s="29" t="s">
        <v>1457</v>
      </c>
      <c r="E169" s="10">
        <f>AVERAGE('MOBAYE_Cleaned Data'!SI:SI)</f>
        <v>4</v>
      </c>
    </row>
    <row r="170" spans="1:8" ht="15.5" x14ac:dyDescent="0.35">
      <c r="A170" s="29" t="s">
        <v>1458</v>
      </c>
      <c r="E170" s="10">
        <f>AVERAGE('MOBAYE_Cleaned Data'!SJ:SJ)</f>
        <v>0</v>
      </c>
    </row>
    <row r="171" spans="1:8" ht="15.5" x14ac:dyDescent="0.35">
      <c r="A171" s="29" t="s">
        <v>1459</v>
      </c>
      <c r="E171" s="10">
        <f>AVERAGE('MOBAYE_Cleaned Data'!SK:SK)</f>
        <v>1</v>
      </c>
    </row>
    <row r="172" spans="1:8" ht="15.5" x14ac:dyDescent="0.35">
      <c r="A172" s="79" t="s">
        <v>1460</v>
      </c>
      <c r="B172" s="21"/>
      <c r="C172" s="21"/>
      <c r="D172" s="21"/>
      <c r="E172" s="21">
        <f>AVERAGE('MOBAYE_Cleaned Data'!SL:SL)</f>
        <v>9</v>
      </c>
    </row>
    <row r="173" spans="1:8" ht="15.5" x14ac:dyDescent="0.35">
      <c r="A173" s="29" t="s">
        <v>1461</v>
      </c>
      <c r="E173" s="10">
        <f>AVERAGE('MOBAYE_Cleaned Data'!SM:SM)</f>
        <v>5</v>
      </c>
    </row>
    <row r="174" spans="1:8" x14ac:dyDescent="0.3">
      <c r="A174" s="147" t="s">
        <v>3389</v>
      </c>
    </row>
    <row r="175" spans="1:8" x14ac:dyDescent="0.3">
      <c r="A175" s="147"/>
    </row>
    <row r="176" spans="1:8" ht="15.5" x14ac:dyDescent="0.35">
      <c r="A176" s="9" t="s">
        <v>1296</v>
      </c>
    </row>
    <row r="177" spans="1:8" ht="15.5" x14ac:dyDescent="0.35">
      <c r="A177" s="29" t="s">
        <v>1469</v>
      </c>
    </row>
    <row r="178" spans="1:8" x14ac:dyDescent="0.3">
      <c r="A178" s="3"/>
      <c r="B178" s="8" t="s">
        <v>1471</v>
      </c>
      <c r="C178" s="8" t="s">
        <v>1472</v>
      </c>
      <c r="D178" s="8" t="s">
        <v>1473</v>
      </c>
      <c r="E178" s="8" t="s">
        <v>1470</v>
      </c>
      <c r="F178" s="8" t="s">
        <v>3259</v>
      </c>
      <c r="G178" s="8" t="s">
        <v>1220</v>
      </c>
      <c r="H178" s="110" t="s">
        <v>1206</v>
      </c>
    </row>
    <row r="179" spans="1:8" x14ac:dyDescent="0.3">
      <c r="A179" s="3" t="s">
        <v>1207</v>
      </c>
      <c r="B179" s="3">
        <f>COUNTIF('MOBAYE_Cleaned Data'!UM:UM,"public")</f>
        <v>2</v>
      </c>
      <c r="C179" s="3">
        <f>COUNTIF('MOBAYE_Cleaned Data'!UM:UM,"prive")</f>
        <v>0</v>
      </c>
      <c r="D179" s="3">
        <f>COUNTIF('MOBAYE_Cleaned Data'!UM:UM,"religieux")</f>
        <v>0</v>
      </c>
      <c r="E179" s="3">
        <f>COUNTIF('MOBAYE_Cleaned Data'!UM:UM,"ong")</f>
        <v>0</v>
      </c>
      <c r="F179" s="3">
        <f>COUNTIF('MOBAYE_Cleaned Data'!UM:UM,"nsp")</f>
        <v>0</v>
      </c>
      <c r="G179" s="123">
        <f>COUNTIF('MOBAYE_Cleaned Data'!UM:UM,"autre")</f>
        <v>0</v>
      </c>
      <c r="H179" s="111">
        <f>SUM(B179:G179)</f>
        <v>2</v>
      </c>
    </row>
    <row r="180" spans="1:8" s="36" customFormat="1" ht="37" x14ac:dyDescent="0.3">
      <c r="A180" s="54" t="s">
        <v>3309</v>
      </c>
      <c r="B180" s="94">
        <f t="shared" ref="B180:G180" si="12">B179/$C$4</f>
        <v>1</v>
      </c>
      <c r="C180" s="94">
        <f t="shared" si="12"/>
        <v>0</v>
      </c>
      <c r="D180" s="94">
        <f t="shared" si="12"/>
        <v>0</v>
      </c>
      <c r="E180" s="94">
        <f t="shared" si="12"/>
        <v>0</v>
      </c>
      <c r="F180" s="94">
        <f t="shared" si="12"/>
        <v>0</v>
      </c>
      <c r="G180" s="94">
        <f t="shared" si="12"/>
        <v>0</v>
      </c>
      <c r="H180" s="100">
        <f>SUM(B180:G180)</f>
        <v>1</v>
      </c>
    </row>
    <row r="181" spans="1:8" x14ac:dyDescent="0.3">
      <c r="A181" s="14"/>
      <c r="B181" s="14"/>
      <c r="C181" s="14"/>
      <c r="D181" s="14"/>
      <c r="E181" s="14"/>
      <c r="F181" s="14"/>
    </row>
    <row r="182" spans="1:8" ht="15.5" x14ac:dyDescent="0.35">
      <c r="A182" s="45" t="s">
        <v>1474</v>
      </c>
      <c r="B182" s="14"/>
      <c r="C182" s="14"/>
      <c r="D182" s="14"/>
      <c r="E182" s="14"/>
      <c r="F182" s="14"/>
    </row>
    <row r="183" spans="1:8" x14ac:dyDescent="0.3">
      <c r="A183" s="3"/>
      <c r="B183" s="8" t="s">
        <v>1210</v>
      </c>
      <c r="C183" s="8" t="s">
        <v>1209</v>
      </c>
      <c r="D183" s="110" t="s">
        <v>1206</v>
      </c>
      <c r="E183" s="14"/>
      <c r="F183" s="14"/>
    </row>
    <row r="184" spans="1:8" x14ac:dyDescent="0.3">
      <c r="A184" s="3" t="s">
        <v>1207</v>
      </c>
      <c r="B184" s="3">
        <f>COUNTIF('MOBAYE_Cleaned Data'!UO:UO,"oui")</f>
        <v>2</v>
      </c>
      <c r="C184" s="3">
        <f>COUNTIF('MOBAYE_Cleaned Data'!UO:UO,"non")</f>
        <v>0</v>
      </c>
      <c r="D184" s="111">
        <f>SUM(B184:C184)</f>
        <v>2</v>
      </c>
      <c r="E184" s="14"/>
      <c r="F184" s="14"/>
    </row>
    <row r="185" spans="1:8" s="36" customFormat="1" ht="37" x14ac:dyDescent="0.3">
      <c r="A185" s="54" t="s">
        <v>3309</v>
      </c>
      <c r="B185" s="94">
        <f>(B184/$C$4)</f>
        <v>1</v>
      </c>
      <c r="C185" s="94">
        <f>(C184/$C$4)</f>
        <v>0</v>
      </c>
      <c r="D185" s="100">
        <f>SUM(B185:C185)</f>
        <v>1</v>
      </c>
      <c r="E185" s="47"/>
      <c r="F185" s="47"/>
    </row>
    <row r="186" spans="1:8" ht="15.5" x14ac:dyDescent="0.35">
      <c r="A186" s="9"/>
    </row>
    <row r="187" spans="1:8" ht="15.5" x14ac:dyDescent="0.35">
      <c r="A187" s="29" t="s">
        <v>1298</v>
      </c>
      <c r="D187" s="103" t="s">
        <v>3245</v>
      </c>
    </row>
    <row r="188" spans="1:8" x14ac:dyDescent="0.3">
      <c r="A188" s="3"/>
      <c r="B188" s="8" t="s">
        <v>1250</v>
      </c>
      <c r="C188" s="8" t="s">
        <v>1251</v>
      </c>
      <c r="D188" s="8" t="s">
        <v>1905</v>
      </c>
      <c r="E188" s="8" t="s">
        <v>1205</v>
      </c>
      <c r="F188" s="8" t="s">
        <v>1252</v>
      </c>
    </row>
    <row r="189" spans="1:8" x14ac:dyDescent="0.3">
      <c r="A189" s="3" t="s">
        <v>1207</v>
      </c>
      <c r="B189" s="3">
        <f>COUNTIF('MOBAYE_Cleaned Data'!UG:UG,"1")</f>
        <v>1</v>
      </c>
      <c r="C189" s="3">
        <f>COUNTIF('MOBAYE_Cleaned Data'!UH:UH,"1")</f>
        <v>1</v>
      </c>
      <c r="D189" s="3">
        <f>COUNTIF('MOBAYE_Cleaned Data'!UI:UI,"1")</f>
        <v>0</v>
      </c>
      <c r="E189" s="3">
        <f>COUNTIF('MOBAYE_Cleaned Data'!UJ:UJ,"1")</f>
        <v>0</v>
      </c>
      <c r="F189" s="3">
        <f>COUNTIF('MOBAYE_Cleaned Data'!UK:UK,"1")</f>
        <v>0</v>
      </c>
    </row>
    <row r="190" spans="1:8" s="36" customFormat="1" ht="37" x14ac:dyDescent="0.3">
      <c r="A190" s="54" t="s">
        <v>3309</v>
      </c>
      <c r="B190" s="94">
        <f>B189/$C$4</f>
        <v>0.5</v>
      </c>
      <c r="C190" s="94">
        <f>C189/$C$4</f>
        <v>0.5</v>
      </c>
      <c r="D190" s="94">
        <f>D189/$C$4</f>
        <v>0</v>
      </c>
      <c r="E190" s="94">
        <f>E189/$C$4</f>
        <v>0</v>
      </c>
      <c r="F190" s="94">
        <f t="shared" ref="F190" si="13">F189/$B$9</f>
        <v>0</v>
      </c>
    </row>
    <row r="192" spans="1:8" ht="15.5" x14ac:dyDescent="0.35">
      <c r="A192" s="29" t="s">
        <v>1299</v>
      </c>
      <c r="D192" s="103" t="s">
        <v>3245</v>
      </c>
    </row>
    <row r="193" spans="1:26" s="36" customFormat="1" ht="76.5" customHeight="1" x14ac:dyDescent="0.35">
      <c r="A193" s="8" t="s">
        <v>1475</v>
      </c>
      <c r="B193" s="8" t="s">
        <v>2075</v>
      </c>
      <c r="C193" s="8" t="s">
        <v>1476</v>
      </c>
      <c r="D193" s="8" t="s">
        <v>1477</v>
      </c>
      <c r="E193" s="8" t="s">
        <v>1478</v>
      </c>
      <c r="F193" s="8" t="s">
        <v>1479</v>
      </c>
      <c r="G193" s="8" t="s">
        <v>1480</v>
      </c>
      <c r="H193" s="8" t="s">
        <v>2076</v>
      </c>
      <c r="I193" s="8" t="s">
        <v>1481</v>
      </c>
      <c r="J193" s="8" t="s">
        <v>1378</v>
      </c>
      <c r="K193" s="8" t="s">
        <v>1482</v>
      </c>
      <c r="L193" s="8" t="s">
        <v>2077</v>
      </c>
      <c r="M193" s="8" t="s">
        <v>2078</v>
      </c>
      <c r="N193" s="8" t="s">
        <v>1381</v>
      </c>
      <c r="O193" s="8" t="s">
        <v>3259</v>
      </c>
      <c r="P193" s="8" t="s">
        <v>1205</v>
      </c>
    </row>
    <row r="194" spans="1:26" x14ac:dyDescent="0.3">
      <c r="A194" s="3">
        <f>COUNTIF('MOBAYE_Cleaned Data'!UQ:UQ,"1")</f>
        <v>1</v>
      </c>
      <c r="B194" s="3">
        <f>COUNTIF('MOBAYE_Cleaned Data'!UR:UR,"1")</f>
        <v>1</v>
      </c>
      <c r="C194" s="3">
        <f>COUNTIF('MOBAYE_Cleaned Data'!US:US,"1")</f>
        <v>1</v>
      </c>
      <c r="D194" s="3">
        <f>COUNTIF('MOBAYE_Cleaned Data'!UT:UT,"1")</f>
        <v>0</v>
      </c>
      <c r="E194" s="3">
        <f>COUNTIF('MOBAYE_Cleaned Data'!UU:UU,"1")</f>
        <v>0</v>
      </c>
      <c r="F194" s="3">
        <f>COUNTIF('MOBAYE_Cleaned Data'!UV:UV,"1")</f>
        <v>1</v>
      </c>
      <c r="G194" s="3">
        <f>COUNTIF('MOBAYE_Cleaned Data'!UW:UW,"1")</f>
        <v>2</v>
      </c>
      <c r="H194" s="3">
        <f>COUNTIF('MOBAYE_Cleaned Data'!UX:UX,"1")</f>
        <v>0</v>
      </c>
      <c r="I194" s="3">
        <f>COUNTIF('MOBAYE_Cleaned Data'!UY:UY,"1")</f>
        <v>0</v>
      </c>
      <c r="J194" s="3">
        <f>COUNTIF('MOBAYE_Cleaned Data'!UZ:UZ,"1")</f>
        <v>0</v>
      </c>
      <c r="K194" s="3">
        <f>COUNTIF('MOBAYE_Cleaned Data'!VA:VA,"1")</f>
        <v>0</v>
      </c>
      <c r="L194" s="3">
        <f>COUNTIF('MOBAYE_Cleaned Data'!VB:VB,"1")</f>
        <v>0</v>
      </c>
      <c r="M194" s="3">
        <f>COUNTIF('MOBAYE_Cleaned Data'!VC:VC,"1")</f>
        <v>0</v>
      </c>
      <c r="N194" s="3">
        <f>COUNTIF('MOBAYE_Cleaned Data'!VD:VD,"1")</f>
        <v>0</v>
      </c>
      <c r="O194" s="3">
        <f>COUNTIF('MOBAYE_Cleaned Data'!VE:VE,"1")</f>
        <v>0</v>
      </c>
      <c r="P194" s="3">
        <f>COUNTIF('MOBAYE_Cleaned Data'!VF:VF,"1")</f>
        <v>0</v>
      </c>
    </row>
    <row r="196" spans="1:26" ht="15.5" x14ac:dyDescent="0.35">
      <c r="A196" s="29" t="s">
        <v>1300</v>
      </c>
      <c r="D196" s="103" t="s">
        <v>3245</v>
      </c>
    </row>
    <row r="197" spans="1:26" ht="28" x14ac:dyDescent="0.3">
      <c r="A197" s="8" t="s">
        <v>1236</v>
      </c>
      <c r="B197" s="8" t="s">
        <v>1256</v>
      </c>
      <c r="C197" s="8" t="s">
        <v>1257</v>
      </c>
      <c r="D197" s="8" t="s">
        <v>1239</v>
      </c>
      <c r="E197" s="8" t="s">
        <v>1240</v>
      </c>
      <c r="F197" s="8" t="s">
        <v>1258</v>
      </c>
      <c r="G197" s="8" t="s">
        <v>1259</v>
      </c>
      <c r="H197" s="8" t="s">
        <v>1260</v>
      </c>
      <c r="I197" s="8" t="s">
        <v>1261</v>
      </c>
      <c r="J197" s="8" t="s">
        <v>1252</v>
      </c>
      <c r="K197" s="8" t="s">
        <v>1905</v>
      </c>
      <c r="L197" s="8" t="s">
        <v>1220</v>
      </c>
    </row>
    <row r="198" spans="1:26" x14ac:dyDescent="0.3">
      <c r="A198" s="24">
        <f>COUNTIF('MOBAYE_Cleaned Data'!VI:VI,"1")</f>
        <v>1</v>
      </c>
      <c r="B198" s="24">
        <f>COUNTIF('MOBAYE_Cleaned Data'!VJ:VJ,"1")</f>
        <v>0</v>
      </c>
      <c r="C198" s="24">
        <f>COUNTIF('MOBAYE_Cleaned Data'!VK:VK,"1")</f>
        <v>0</v>
      </c>
      <c r="D198" s="24">
        <f>COUNTIF('MOBAYE_Cleaned Data'!VL:VL,"1")</f>
        <v>0</v>
      </c>
      <c r="E198" s="24">
        <f>COUNTIF('MOBAYE_Cleaned Data'!VM:VM,"1")</f>
        <v>1</v>
      </c>
      <c r="F198" s="24">
        <f>COUNTIF('MOBAYE_Cleaned Data'!VN:VN,"1")</f>
        <v>1</v>
      </c>
      <c r="G198" s="24">
        <f>COUNTIF('MOBAYE_Cleaned Data'!VO:VO,"1")</f>
        <v>1</v>
      </c>
      <c r="H198" s="24">
        <f>COUNTIF('MOBAYE_Cleaned Data'!VP:VP,"1")</f>
        <v>0</v>
      </c>
      <c r="I198" s="24">
        <f>COUNTIF('MOBAYE_Cleaned Data'!VQ:VQ,"1")</f>
        <v>1</v>
      </c>
      <c r="J198" s="24">
        <f>COUNTIF('MOBAYE_Cleaned Data'!VR:VR,"1")</f>
        <v>0</v>
      </c>
      <c r="K198" s="24">
        <f>COUNTIF('MOBAYE_Cleaned Data'!VS:VS,"1")</f>
        <v>0</v>
      </c>
      <c r="L198" s="24">
        <f>COUNTIF('MOBAYE_Cleaned Data'!VT:VT,"1")</f>
        <v>0</v>
      </c>
    </row>
    <row r="200" spans="1:26" ht="15.5" x14ac:dyDescent="0.35">
      <c r="A200" s="29" t="s">
        <v>1334</v>
      </c>
    </row>
    <row r="201" spans="1:26" x14ac:dyDescent="0.3">
      <c r="A201" s="3"/>
      <c r="B201" s="8" t="s">
        <v>1210</v>
      </c>
      <c r="C201" s="8" t="s">
        <v>1209</v>
      </c>
      <c r="D201" s="110" t="s">
        <v>1206</v>
      </c>
    </row>
    <row r="202" spans="1:26" x14ac:dyDescent="0.3">
      <c r="A202" s="3" t="s">
        <v>1207</v>
      </c>
      <c r="B202" s="24">
        <f>COUNTIF('MOBAYE_Cleaned Data'!VW:VW,"OUI")</f>
        <v>2</v>
      </c>
      <c r="C202" s="24">
        <f>COUNTIF('MOBAYE_Cleaned Data'!VW:VW,"non")</f>
        <v>0</v>
      </c>
      <c r="D202" s="111">
        <f>SUM(B202:C202)</f>
        <v>2</v>
      </c>
    </row>
    <row r="203" spans="1:26" ht="37.5" x14ac:dyDescent="0.3">
      <c r="A203" s="53" t="s">
        <v>3288</v>
      </c>
      <c r="B203" s="39">
        <f>(B202/$C$4)</f>
        <v>1</v>
      </c>
      <c r="C203" s="39">
        <f>(C202/$C$4)</f>
        <v>0</v>
      </c>
      <c r="D203" s="100">
        <f>SUM(B203:C203)</f>
        <v>1</v>
      </c>
    </row>
    <row r="204" spans="1:26" x14ac:dyDescent="0.3">
      <c r="A204" s="91"/>
      <c r="B204" s="15"/>
      <c r="C204" s="15"/>
    </row>
    <row r="205" spans="1:26" s="1" customFormat="1" x14ac:dyDescent="0.3">
      <c r="A205" s="10"/>
      <c r="B205" s="18" t="s">
        <v>1262</v>
      </c>
      <c r="C205" s="10"/>
      <c r="D205" s="103" t="s">
        <v>3245</v>
      </c>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s="56" customFormat="1" ht="28" x14ac:dyDescent="0.3">
      <c r="A206" s="36"/>
      <c r="B206" s="3"/>
      <c r="C206" s="11" t="s">
        <v>1922</v>
      </c>
      <c r="D206" s="11" t="s">
        <v>1369</v>
      </c>
      <c r="E206" s="11" t="s">
        <v>1923</v>
      </c>
      <c r="F206" s="11" t="s">
        <v>1924</v>
      </c>
      <c r="G206" s="11" t="s">
        <v>1925</v>
      </c>
      <c r="H206" s="11" t="s">
        <v>1905</v>
      </c>
      <c r="I206" s="11" t="s">
        <v>1205</v>
      </c>
      <c r="J206" s="61"/>
      <c r="K206" s="61"/>
      <c r="L206" s="36"/>
      <c r="M206" s="36"/>
      <c r="N206" s="36"/>
      <c r="O206" s="36"/>
      <c r="P206" s="36"/>
      <c r="Q206" s="36"/>
      <c r="R206" s="36"/>
      <c r="S206" s="36"/>
      <c r="T206" s="36"/>
      <c r="U206" s="36"/>
      <c r="V206" s="36"/>
      <c r="W206" s="36"/>
      <c r="X206" s="36"/>
      <c r="Y206" s="36"/>
      <c r="Z206" s="36"/>
    </row>
    <row r="207" spans="1:26" s="1" customFormat="1" x14ac:dyDescent="0.3">
      <c r="A207" s="10"/>
      <c r="B207" s="3" t="s">
        <v>1207</v>
      </c>
      <c r="C207" s="24">
        <f>COUNTIF('MOBAYE_Cleaned Data'!VY:VY,"1")</f>
        <v>0</v>
      </c>
      <c r="D207" s="24">
        <f>COUNTIF('MOBAYE_Cleaned Data'!VZ:VZ,"1")</f>
        <v>0</v>
      </c>
      <c r="E207" s="24">
        <f>COUNTIF('MOBAYE_Cleaned Data'!WA:WA,"1")</f>
        <v>0</v>
      </c>
      <c r="F207" s="24">
        <f>COUNTIF('MOBAYE_Cleaned Data'!WB:WB,"1")</f>
        <v>0</v>
      </c>
      <c r="G207" s="24">
        <f>COUNTIF('MOBAYE_Cleaned Data'!WC:WC,"1")</f>
        <v>2</v>
      </c>
      <c r="H207" s="24">
        <f>COUNTIF('MOBAYE_Cleaned Data'!WD:WD,"1")</f>
        <v>0</v>
      </c>
      <c r="I207" s="24">
        <f>COUNTIF('MOBAYE_Cleaned Data'!WE:WE,"1")</f>
        <v>1</v>
      </c>
      <c r="J207" s="10"/>
      <c r="K207" s="10"/>
      <c r="L207" s="10"/>
      <c r="M207" s="10"/>
      <c r="N207" s="10"/>
      <c r="O207" s="10"/>
      <c r="P207" s="10"/>
      <c r="Q207" s="10"/>
      <c r="R207" s="10"/>
      <c r="S207" s="10"/>
      <c r="T207" s="10"/>
      <c r="U207" s="10"/>
      <c r="V207" s="10"/>
      <c r="W207" s="10"/>
      <c r="X207" s="10"/>
      <c r="Y207" s="10"/>
      <c r="Z207" s="10"/>
    </row>
    <row r="208" spans="1:26" s="1" customFormat="1" ht="37.5" x14ac:dyDescent="0.3">
      <c r="A208" s="10"/>
      <c r="B208" s="53" t="s">
        <v>3310</v>
      </c>
      <c r="C208" s="7">
        <f>C207/$B$202</f>
        <v>0</v>
      </c>
      <c r="D208" s="7">
        <f t="shared" ref="D208:I208" si="14">D207/$B$202</f>
        <v>0</v>
      </c>
      <c r="E208" s="7">
        <f t="shared" si="14"/>
        <v>0</v>
      </c>
      <c r="F208" s="7">
        <f t="shared" si="14"/>
        <v>0</v>
      </c>
      <c r="G208" s="7">
        <f t="shared" si="14"/>
        <v>1</v>
      </c>
      <c r="H208" s="7">
        <f t="shared" si="14"/>
        <v>0</v>
      </c>
      <c r="I208" s="7">
        <f t="shared" si="14"/>
        <v>0.5</v>
      </c>
      <c r="J208" s="74"/>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t="s">
        <v>2341</v>
      </c>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0"/>
      <c r="C210" s="10"/>
      <c r="D210" s="10"/>
      <c r="E210" s="10"/>
      <c r="F210" s="10"/>
      <c r="G210" s="10"/>
      <c r="H210" s="10"/>
      <c r="I210" s="74"/>
      <c r="J210" s="10"/>
      <c r="K210" s="10"/>
      <c r="L210" s="10"/>
      <c r="M210" s="10"/>
      <c r="N210" s="10"/>
      <c r="O210" s="10"/>
      <c r="P210" s="10"/>
      <c r="Q210" s="10"/>
      <c r="R210" s="10"/>
      <c r="S210" s="10"/>
      <c r="T210" s="10"/>
      <c r="U210" s="10"/>
      <c r="V210" s="10"/>
      <c r="W210" s="10"/>
      <c r="X210" s="10"/>
      <c r="Y210" s="10"/>
      <c r="Z210" s="10"/>
    </row>
    <row r="211" spans="1:26" s="1" customFormat="1" x14ac:dyDescent="0.3">
      <c r="A211" s="10"/>
      <c r="B211" s="18" t="s">
        <v>1265</v>
      </c>
      <c r="C211" s="10"/>
      <c r="D211" s="103" t="s">
        <v>3245</v>
      </c>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s="56" customFormat="1" ht="56" x14ac:dyDescent="0.3">
      <c r="A212" s="36"/>
      <c r="B212" s="3"/>
      <c r="C212" s="11" t="s">
        <v>1928</v>
      </c>
      <c r="D212" s="11" t="s">
        <v>1926</v>
      </c>
      <c r="E212" s="11" t="s">
        <v>1268</v>
      </c>
      <c r="F212" s="11" t="s">
        <v>1269</v>
      </c>
      <c r="G212" s="11" t="s">
        <v>1927</v>
      </c>
      <c r="H212" s="11" t="s">
        <v>1266</v>
      </c>
      <c r="I212" s="11" t="s">
        <v>1267</v>
      </c>
      <c r="J212" s="11" t="s">
        <v>1929</v>
      </c>
      <c r="K212" s="11" t="s">
        <v>1930</v>
      </c>
      <c r="L212" s="11" t="s">
        <v>1931</v>
      </c>
      <c r="M212" s="11" t="s">
        <v>1932</v>
      </c>
      <c r="N212" s="11" t="s">
        <v>1905</v>
      </c>
      <c r="O212" s="11" t="s">
        <v>1220</v>
      </c>
      <c r="P212" s="61"/>
      <c r="Q212" s="61"/>
      <c r="S212" s="36"/>
      <c r="T212" s="36"/>
      <c r="U212" s="36"/>
      <c r="V212" s="36"/>
      <c r="W212" s="36"/>
      <c r="X212" s="36"/>
      <c r="Y212" s="36"/>
      <c r="Z212" s="36"/>
    </row>
    <row r="213" spans="1:26" s="1" customFormat="1" x14ac:dyDescent="0.3">
      <c r="A213" s="10"/>
      <c r="B213" s="3" t="s">
        <v>1207</v>
      </c>
      <c r="C213" s="24">
        <f>COUNTIF('MOBAYE_Cleaned Data'!WH:WH,"1")</f>
        <v>0</v>
      </c>
      <c r="D213" s="24">
        <f>COUNTIF('MOBAYE_Cleaned Data'!WI:WI,"1")</f>
        <v>1</v>
      </c>
      <c r="E213" s="24">
        <f>COUNTIF('MOBAYE_Cleaned Data'!WJ:WJ,"1")</f>
        <v>1</v>
      </c>
      <c r="F213" s="24">
        <f>COUNTIF('MOBAYE_Cleaned Data'!WK:WK,"1")</f>
        <v>0</v>
      </c>
      <c r="G213" s="24">
        <f>COUNTIF('MOBAYE_Cleaned Data'!WL:WL,"1")</f>
        <v>0</v>
      </c>
      <c r="H213" s="24">
        <f>COUNTIF('MOBAYE_Cleaned Data'!WM:WM,"1")</f>
        <v>0</v>
      </c>
      <c r="I213" s="24">
        <f>COUNTIF('MOBAYE_Cleaned Data'!WN:WN,"1")</f>
        <v>0</v>
      </c>
      <c r="J213" s="24">
        <f>COUNTIF('MOBAYE_Cleaned Data'!WO:WO,"1")</f>
        <v>0</v>
      </c>
      <c r="K213" s="24">
        <f>COUNTIF('MOBAYE_Cleaned Data'!WP:WP,"1")</f>
        <v>0</v>
      </c>
      <c r="L213" s="24">
        <f>COUNTIF('MOBAYE_Cleaned Data'!WQ:WQ,"1")</f>
        <v>0</v>
      </c>
      <c r="M213" s="24">
        <f>COUNTIF('MOBAYE_Cleaned Data'!WR:WR,"1")</f>
        <v>0</v>
      </c>
      <c r="N213" s="24">
        <f>COUNTIF('MOBAYE_Cleaned Data'!WS:WS,"1")</f>
        <v>0</v>
      </c>
      <c r="O213" s="24">
        <f>COUNTIF('MOBAYE_Cleaned Data'!WT:WT,"1")</f>
        <v>1</v>
      </c>
      <c r="P213" s="10"/>
      <c r="Q213" s="10"/>
      <c r="R213" s="10"/>
      <c r="S213" s="10"/>
      <c r="T213" s="10"/>
      <c r="U213" s="10"/>
      <c r="V213" s="10"/>
      <c r="W213" s="10"/>
      <c r="X213" s="10"/>
      <c r="Y213" s="10"/>
      <c r="Z213" s="10"/>
    </row>
    <row r="214" spans="1:26" s="1" customFormat="1" ht="37.5" x14ac:dyDescent="0.3">
      <c r="A214" s="10"/>
      <c r="B214" s="53" t="s">
        <v>3310</v>
      </c>
      <c r="C214" s="7">
        <f>C213/$B$202</f>
        <v>0</v>
      </c>
      <c r="D214" s="7">
        <f t="shared" ref="D214:O214" si="15">D213/$B$202</f>
        <v>0.5</v>
      </c>
      <c r="E214" s="7">
        <f t="shared" si="15"/>
        <v>0.5</v>
      </c>
      <c r="F214" s="7">
        <f t="shared" si="15"/>
        <v>0</v>
      </c>
      <c r="G214" s="7">
        <f t="shared" si="15"/>
        <v>0</v>
      </c>
      <c r="H214" s="7">
        <f t="shared" si="15"/>
        <v>0</v>
      </c>
      <c r="I214" s="7">
        <f t="shared" si="15"/>
        <v>0</v>
      </c>
      <c r="J214" s="7">
        <f t="shared" si="15"/>
        <v>0</v>
      </c>
      <c r="K214" s="7">
        <f t="shared" si="15"/>
        <v>0</v>
      </c>
      <c r="L214" s="7">
        <f t="shared" si="15"/>
        <v>0</v>
      </c>
      <c r="M214" s="7">
        <f t="shared" si="15"/>
        <v>0</v>
      </c>
      <c r="N214" s="7">
        <f t="shared" si="15"/>
        <v>0</v>
      </c>
      <c r="O214" s="7">
        <f t="shared" si="15"/>
        <v>0.5</v>
      </c>
      <c r="P214" s="10"/>
      <c r="Q214" s="10"/>
      <c r="R214" s="10"/>
      <c r="S214" s="10"/>
      <c r="T214" s="10"/>
      <c r="U214" s="10"/>
      <c r="V214" s="10"/>
      <c r="W214" s="10"/>
      <c r="X214" s="10"/>
      <c r="Y214" s="10"/>
      <c r="Z214" s="10"/>
    </row>
    <row r="215" spans="1:26" x14ac:dyDescent="0.3">
      <c r="B215" s="15"/>
      <c r="C215" s="15"/>
      <c r="D215" s="15"/>
      <c r="E215" s="15"/>
      <c r="F215" s="15"/>
      <c r="G215" s="15"/>
      <c r="H215" s="15"/>
      <c r="O215" s="74" t="s">
        <v>3084</v>
      </c>
    </row>
    <row r="216" spans="1:26" s="1" customFormat="1" x14ac:dyDescent="0.3">
      <c r="A216" s="10"/>
      <c r="B216" s="18" t="s">
        <v>1406</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c r="C217" s="11" t="s">
        <v>1210</v>
      </c>
      <c r="D217" s="11" t="s">
        <v>1209</v>
      </c>
      <c r="E217" s="110" t="s">
        <v>1206</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x14ac:dyDescent="0.3">
      <c r="A218" s="10"/>
      <c r="B218" s="3" t="s">
        <v>1207</v>
      </c>
      <c r="C218" s="24">
        <f>COUNTIF('MOBAYE_Cleaned Data'!WV:WV,"OUI")</f>
        <v>1</v>
      </c>
      <c r="D218" s="24">
        <f>COUNTIF('MOBAYE_Cleaned Data'!WV:WV,"non")</f>
        <v>1</v>
      </c>
      <c r="E218" s="111">
        <f>SUM(C218:D218)</f>
        <v>2</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ht="37.5" x14ac:dyDescent="0.3">
      <c r="A219" s="10"/>
      <c r="B219" s="53" t="s">
        <v>3310</v>
      </c>
      <c r="C219" s="7">
        <f>(C218/$B$202)</f>
        <v>0.5</v>
      </c>
      <c r="D219" s="7">
        <f>(D218/$B$202)</f>
        <v>0.5</v>
      </c>
      <c r="E219" s="100">
        <f>SUM(C219:D219)</f>
        <v>1</v>
      </c>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18" t="s">
        <v>1270</v>
      </c>
      <c r="D221" s="10"/>
      <c r="E221" s="103" t="s">
        <v>3245</v>
      </c>
      <c r="F221" s="10"/>
      <c r="G221" s="10"/>
      <c r="H221" s="10"/>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c r="D222" s="11" t="s">
        <v>1271</v>
      </c>
      <c r="E222" s="11" t="s">
        <v>1272</v>
      </c>
      <c r="F222" s="11" t="s">
        <v>1273</v>
      </c>
      <c r="G222" s="11" t="s">
        <v>1274</v>
      </c>
      <c r="H222" s="11" t="s">
        <v>1205</v>
      </c>
      <c r="I222" s="10"/>
      <c r="J222" s="10"/>
      <c r="K222" s="10"/>
      <c r="L222" s="10"/>
      <c r="M222" s="10"/>
      <c r="N222" s="10"/>
      <c r="O222" s="10"/>
      <c r="P222" s="10"/>
      <c r="Q222" s="10"/>
      <c r="R222" s="10"/>
      <c r="S222" s="10"/>
      <c r="T222" s="10"/>
      <c r="U222" s="10"/>
      <c r="V222" s="10"/>
      <c r="W222" s="10"/>
      <c r="X222" s="10"/>
      <c r="Y222" s="10"/>
      <c r="Z222" s="10"/>
    </row>
    <row r="223" spans="1:26" s="1" customFormat="1" x14ac:dyDescent="0.3">
      <c r="A223" s="10"/>
      <c r="B223" s="10"/>
      <c r="C223" s="3" t="s">
        <v>1207</v>
      </c>
      <c r="D223" s="4">
        <f>COUNTIF('MOBAYE_Cleaned Data'!WX:WX,"1")</f>
        <v>0</v>
      </c>
      <c r="E223" s="4">
        <f>COUNTIF('MOBAYE_Cleaned Data'!WY:WY,"1")</f>
        <v>0</v>
      </c>
      <c r="F223" s="4">
        <f>COUNTIF('MOBAYE_Cleaned Data'!WZ:WZ,"1")</f>
        <v>1</v>
      </c>
      <c r="G223" s="4">
        <f>COUNTIF('MOBAYE_Cleaned Data'!XA:XA,"1")</f>
        <v>0</v>
      </c>
      <c r="H223" s="4">
        <f>COUNTIF('MOBAYE_Cleaned Data'!XB:XB,"1")</f>
        <v>0</v>
      </c>
      <c r="I223" s="10"/>
      <c r="J223" s="10"/>
      <c r="K223" s="10"/>
      <c r="L223" s="10"/>
      <c r="M223" s="10"/>
      <c r="N223" s="10"/>
      <c r="O223" s="10"/>
      <c r="P223" s="10"/>
      <c r="Q223" s="10"/>
      <c r="R223" s="10"/>
      <c r="S223" s="10"/>
      <c r="T223" s="10"/>
      <c r="U223" s="10"/>
      <c r="V223" s="10"/>
      <c r="W223" s="10"/>
      <c r="X223" s="10"/>
      <c r="Y223" s="10"/>
      <c r="Z223" s="10"/>
    </row>
    <row r="224" spans="1:26" s="1" customFormat="1" ht="49" x14ac:dyDescent="0.3">
      <c r="A224" s="10"/>
      <c r="B224" s="10"/>
      <c r="C224" s="53" t="s">
        <v>3311</v>
      </c>
      <c r="D224" s="7">
        <f>D223/$D$218</f>
        <v>0</v>
      </c>
      <c r="E224" s="7">
        <f t="shared" ref="E224:H224" si="16">E223/$D$218</f>
        <v>0</v>
      </c>
      <c r="F224" s="7">
        <f t="shared" si="16"/>
        <v>1</v>
      </c>
      <c r="G224" s="7">
        <f t="shared" si="16"/>
        <v>0</v>
      </c>
      <c r="H224" s="7">
        <f t="shared" si="16"/>
        <v>0</v>
      </c>
      <c r="I224" s="10"/>
      <c r="J224" s="10"/>
      <c r="K224" s="10"/>
      <c r="L224" s="10"/>
      <c r="M224" s="10"/>
      <c r="N224" s="10"/>
      <c r="O224" s="10"/>
      <c r="P224" s="10"/>
      <c r="Q224" s="10"/>
      <c r="R224" s="10"/>
      <c r="S224" s="10"/>
      <c r="T224" s="10"/>
      <c r="U224" s="10"/>
      <c r="V224" s="10"/>
      <c r="W224" s="10"/>
      <c r="X224" s="10"/>
      <c r="Y224" s="10"/>
      <c r="Z224" s="10"/>
    </row>
    <row r="226" spans="1:13" ht="15.5" x14ac:dyDescent="0.35">
      <c r="A226" s="9" t="s">
        <v>1301</v>
      </c>
      <c r="C226" s="103" t="s">
        <v>3245</v>
      </c>
    </row>
    <row r="227" spans="1:13" s="36" customFormat="1" ht="84" x14ac:dyDescent="0.35">
      <c r="A227" s="8" t="s">
        <v>2081</v>
      </c>
      <c r="B227" s="8" t="s">
        <v>1483</v>
      </c>
      <c r="C227" s="8" t="s">
        <v>2082</v>
      </c>
      <c r="D227" s="8" t="s">
        <v>2083</v>
      </c>
      <c r="E227" s="8" t="s">
        <v>2084</v>
      </c>
      <c r="F227" s="8" t="s">
        <v>1484</v>
      </c>
      <c r="G227" s="8" t="s">
        <v>1268</v>
      </c>
      <c r="H227" s="8" t="s">
        <v>2085</v>
      </c>
      <c r="I227" s="8" t="s">
        <v>2086</v>
      </c>
      <c r="J227" s="8" t="s">
        <v>2087</v>
      </c>
      <c r="K227" s="8" t="s">
        <v>2088</v>
      </c>
      <c r="L227" s="8" t="s">
        <v>1905</v>
      </c>
      <c r="M227" s="8" t="s">
        <v>1220</v>
      </c>
    </row>
    <row r="228" spans="1:13" x14ac:dyDescent="0.3">
      <c r="A228" s="24">
        <f>COUNTIF('MOBAYE_Cleaned Data'!XE:XE,"1")</f>
        <v>0</v>
      </c>
      <c r="B228" s="24">
        <f>COUNTIF('MOBAYE_Cleaned Data'!XF:XF,"1")</f>
        <v>0</v>
      </c>
      <c r="C228" s="24">
        <f>COUNTIF('MOBAYE_Cleaned Data'!XG:XG,"1")</f>
        <v>0</v>
      </c>
      <c r="D228" s="24">
        <f>COUNTIF('MOBAYE_Cleaned Data'!XH:XH,"1")</f>
        <v>1</v>
      </c>
      <c r="E228" s="24">
        <f>COUNTIF('MOBAYE_Cleaned Data'!XI:XI,"1")</f>
        <v>0</v>
      </c>
      <c r="F228" s="24">
        <f>COUNTIF('MOBAYE_Cleaned Data'!XJ:XJ,"1")</f>
        <v>1</v>
      </c>
      <c r="G228" s="24">
        <f>COUNTIF('MOBAYE_Cleaned Data'!XK:XK,"1")</f>
        <v>0</v>
      </c>
      <c r="H228" s="24">
        <f>COUNTIF('MOBAYE_Cleaned Data'!XL:XL,"1")</f>
        <v>0</v>
      </c>
      <c r="I228" s="24">
        <f>COUNTIF('MOBAYE_Cleaned Data'!XM:XM,"1")</f>
        <v>0</v>
      </c>
      <c r="J228" s="24">
        <f>COUNTIF('MOBAYE_Cleaned Data'!XN:XN,"1")</f>
        <v>0</v>
      </c>
      <c r="K228" s="24">
        <f>COUNTIF('MOBAYE_Cleaned Data'!XO:XO,"1")</f>
        <v>0</v>
      </c>
      <c r="L228" s="24">
        <f>COUNTIF('MOBAYE_Cleaned Data'!XP:XP,"1")</f>
        <v>0</v>
      </c>
      <c r="M228" s="24">
        <f>COUNTIF('MOBAYE_Cleaned Data'!XQ:XQ,"1")</f>
        <v>0</v>
      </c>
    </row>
    <row r="229" spans="1:13" x14ac:dyDescent="0.3">
      <c r="M229" s="74"/>
    </row>
    <row r="230" spans="1:13" ht="15.5" x14ac:dyDescent="0.35">
      <c r="A230" s="9" t="s">
        <v>1485</v>
      </c>
    </row>
    <row r="231" spans="1:13" ht="15.5" x14ac:dyDescent="0.35">
      <c r="A231" s="29" t="s">
        <v>1486</v>
      </c>
    </row>
    <row r="232" spans="1:13" x14ac:dyDescent="0.3">
      <c r="A232" s="3"/>
      <c r="B232" s="8" t="s">
        <v>1210</v>
      </c>
      <c r="C232" s="8" t="s">
        <v>1209</v>
      </c>
      <c r="D232" s="110" t="s">
        <v>1206</v>
      </c>
    </row>
    <row r="233" spans="1:13" x14ac:dyDescent="0.3">
      <c r="A233" s="3" t="s">
        <v>1207</v>
      </c>
      <c r="B233" s="4">
        <f>COUNTIF('MOBAYE_Cleaned Data'!XT:XT,"OUI")</f>
        <v>2</v>
      </c>
      <c r="C233" s="4">
        <f>COUNTIF('MOBAYE_Cleaned Data'!XT:XT,"non")</f>
        <v>0</v>
      </c>
      <c r="D233" s="111">
        <f>SUM(B233:C233)</f>
        <v>2</v>
      </c>
    </row>
    <row r="234" spans="1:13" s="36" customFormat="1" ht="37" x14ac:dyDescent="0.3">
      <c r="A234" s="54" t="s">
        <v>3301</v>
      </c>
      <c r="B234" s="120">
        <f>(B233/$E$9)</f>
        <v>1</v>
      </c>
      <c r="C234" s="120">
        <f>(C233/$E$9)</f>
        <v>0</v>
      </c>
      <c r="D234" s="100">
        <f>SUM(B234:C234)</f>
        <v>1</v>
      </c>
    </row>
    <row r="236" spans="1:13" x14ac:dyDescent="0.3">
      <c r="B236" s="18" t="s">
        <v>1487</v>
      </c>
      <c r="D236" s="103" t="s">
        <v>3245</v>
      </c>
    </row>
    <row r="237" spans="1:13" s="36" customFormat="1" ht="56" x14ac:dyDescent="0.3">
      <c r="B237" s="3"/>
      <c r="C237" s="11" t="s">
        <v>1488</v>
      </c>
      <c r="D237" s="11" t="s">
        <v>1489</v>
      </c>
      <c r="E237" s="11" t="s">
        <v>1490</v>
      </c>
      <c r="F237" s="11" t="s">
        <v>1491</v>
      </c>
      <c r="G237" s="11" t="s">
        <v>1492</v>
      </c>
      <c r="H237" s="11" t="s">
        <v>1493</v>
      </c>
      <c r="I237" s="11" t="s">
        <v>3259</v>
      </c>
      <c r="J237" s="11" t="s">
        <v>1205</v>
      </c>
    </row>
    <row r="238" spans="1:13" x14ac:dyDescent="0.3">
      <c r="B238" s="3" t="s">
        <v>1207</v>
      </c>
      <c r="C238" s="24">
        <f>COUNTIF('MOBAYE_Cleaned Data'!XV:XV,"1")</f>
        <v>1</v>
      </c>
      <c r="D238" s="24">
        <f>COUNTIF('MOBAYE_Cleaned Data'!XW:XW,"1")</f>
        <v>1</v>
      </c>
      <c r="E238" s="24">
        <f>COUNTIF('MOBAYE_Cleaned Data'!XX:XX,"1")</f>
        <v>0</v>
      </c>
      <c r="F238" s="24">
        <f>COUNTIF('MOBAYE_Cleaned Data'!XY:XY,"1")</f>
        <v>1</v>
      </c>
      <c r="G238" s="24">
        <f>COUNTIF('MOBAYE_Cleaned Data'!XZ:XZ,"1")</f>
        <v>0</v>
      </c>
      <c r="H238" s="24">
        <f>COUNTIF('MOBAYE_Cleaned Data'!YA:YA,"1")</f>
        <v>0</v>
      </c>
      <c r="I238" s="24">
        <f>COUNTIF('MOBAYE_Cleaned Data'!YB:YB,"1")</f>
        <v>0</v>
      </c>
      <c r="J238" s="24">
        <f>COUNTIF('MOBAYE_Cleaned Data'!YC:YC,"1")</f>
        <v>0</v>
      </c>
    </row>
    <row r="239" spans="1:13" ht="37" x14ac:dyDescent="0.3">
      <c r="B239" s="54" t="s">
        <v>3313</v>
      </c>
      <c r="C239" s="120">
        <f>(C238/$B$233)</f>
        <v>0.5</v>
      </c>
      <c r="D239" s="120">
        <f t="shared" ref="D239:J239" si="17">(D238/$B$233)</f>
        <v>0.5</v>
      </c>
      <c r="E239" s="120">
        <f t="shared" si="17"/>
        <v>0</v>
      </c>
      <c r="F239" s="120">
        <f t="shared" si="17"/>
        <v>0.5</v>
      </c>
      <c r="G239" s="120">
        <f t="shared" si="17"/>
        <v>0</v>
      </c>
      <c r="H239" s="120">
        <f t="shared" si="17"/>
        <v>0</v>
      </c>
      <c r="I239" s="120">
        <f t="shared" si="17"/>
        <v>0</v>
      </c>
      <c r="J239" s="120">
        <f t="shared" si="17"/>
        <v>0</v>
      </c>
    </row>
    <row r="241" spans="1:4" ht="15.5" x14ac:dyDescent="0.35">
      <c r="A241" s="29" t="s">
        <v>1494</v>
      </c>
    </row>
    <row r="242" spans="1:4" x14ac:dyDescent="0.3">
      <c r="A242" s="3"/>
      <c r="B242" s="8" t="s">
        <v>1210</v>
      </c>
      <c r="C242" s="8" t="s">
        <v>1209</v>
      </c>
      <c r="D242" s="110" t="s">
        <v>1206</v>
      </c>
    </row>
    <row r="243" spans="1:4" x14ac:dyDescent="0.3">
      <c r="A243" s="3" t="s">
        <v>1207</v>
      </c>
      <c r="B243" s="4">
        <f>COUNTIF('MOBAYE_Cleaned Data'!YE:YE,"OUI")</f>
        <v>1</v>
      </c>
      <c r="C243" s="4">
        <f>COUNTIF('MOBAYE_Cleaned Data'!YE:YE,"non")</f>
        <v>1</v>
      </c>
      <c r="D243" s="111">
        <f>SUM(B243:C243)</f>
        <v>2</v>
      </c>
    </row>
    <row r="244" spans="1:4" ht="37" x14ac:dyDescent="0.3">
      <c r="A244" s="54" t="s">
        <v>3301</v>
      </c>
      <c r="B244" s="120">
        <f>(B243/$E$9)</f>
        <v>0.5</v>
      </c>
      <c r="C244" s="120">
        <f>(C243/$E$9)</f>
        <v>0.5</v>
      </c>
      <c r="D244" s="100">
        <f>SUM(B244:C244)</f>
        <v>1</v>
      </c>
    </row>
    <row r="246" spans="1:4" ht="15.5" x14ac:dyDescent="0.35">
      <c r="A246" s="29" t="s">
        <v>1495</v>
      </c>
    </row>
    <row r="247" spans="1:4" x14ac:dyDescent="0.3">
      <c r="A247" s="3"/>
      <c r="B247" s="8" t="s">
        <v>1210</v>
      </c>
      <c r="C247" s="8" t="s">
        <v>1209</v>
      </c>
      <c r="D247" s="110" t="s">
        <v>1206</v>
      </c>
    </row>
    <row r="248" spans="1:4" x14ac:dyDescent="0.3">
      <c r="A248" s="3" t="s">
        <v>1207</v>
      </c>
      <c r="B248" s="4">
        <f>COUNTIF('MOBAYE_Cleaned Data'!YF:YF,"OUI")</f>
        <v>1</v>
      </c>
      <c r="C248" s="4">
        <f>COUNTIF('MOBAYE_Cleaned Data'!YF:YF,"non")</f>
        <v>1</v>
      </c>
      <c r="D248" s="111">
        <f>SUM(B248:C248)</f>
        <v>2</v>
      </c>
    </row>
    <row r="249" spans="1:4" ht="37" x14ac:dyDescent="0.3">
      <c r="A249" s="54" t="s">
        <v>3301</v>
      </c>
      <c r="B249" s="120">
        <f>(B248/$E$9)</f>
        <v>0.5</v>
      </c>
      <c r="C249" s="120">
        <f>(C248/$E$9)</f>
        <v>0.5</v>
      </c>
      <c r="D249" s="100">
        <f>SUM(B249:C249)</f>
        <v>1</v>
      </c>
    </row>
    <row r="251" spans="1:4" ht="15.5" x14ac:dyDescent="0.35">
      <c r="A251" s="29" t="s">
        <v>1496</v>
      </c>
    </row>
    <row r="252" spans="1:4" x14ac:dyDescent="0.3">
      <c r="A252" s="3"/>
      <c r="B252" s="8" t="s">
        <v>1210</v>
      </c>
      <c r="C252" s="8" t="s">
        <v>1209</v>
      </c>
      <c r="D252" s="110" t="s">
        <v>1206</v>
      </c>
    </row>
    <row r="253" spans="1:4" x14ac:dyDescent="0.3">
      <c r="A253" s="3" t="s">
        <v>1207</v>
      </c>
      <c r="B253" s="4">
        <f>COUNTIF('MOBAYE_Cleaned Data'!YH:YH,"OUI")</f>
        <v>2</v>
      </c>
      <c r="C253" s="4">
        <f>COUNTIF('MOBAYE_Cleaned Data'!YH:YH,"non")</f>
        <v>0</v>
      </c>
      <c r="D253" s="111">
        <f>SUM(B253:C253)</f>
        <v>2</v>
      </c>
    </row>
    <row r="254" spans="1:4" ht="37" x14ac:dyDescent="0.3">
      <c r="A254" s="54" t="s">
        <v>3301</v>
      </c>
      <c r="B254" s="120">
        <f>(B253/$E$9)</f>
        <v>1</v>
      </c>
      <c r="C254" s="120">
        <f>(C253/$E$9)</f>
        <v>0</v>
      </c>
      <c r="D254" s="100">
        <f>SUM(B254:C254)</f>
        <v>1</v>
      </c>
    </row>
    <row r="256" spans="1:4" x14ac:dyDescent="0.3">
      <c r="B256" s="18" t="s">
        <v>1497</v>
      </c>
      <c r="D256" s="103" t="s">
        <v>3245</v>
      </c>
    </row>
    <row r="257" spans="1:10" s="36" customFormat="1" ht="42" x14ac:dyDescent="0.3">
      <c r="B257" s="3"/>
      <c r="C257" s="11" t="s">
        <v>1488</v>
      </c>
      <c r="D257" s="11" t="s">
        <v>1498</v>
      </c>
      <c r="E257" s="11" t="s">
        <v>1503</v>
      </c>
      <c r="F257" s="11" t="s">
        <v>1499</v>
      </c>
      <c r="G257" s="11" t="s">
        <v>1500</v>
      </c>
      <c r="H257" s="11" t="s">
        <v>1501</v>
      </c>
      <c r="I257" s="11" t="s">
        <v>1502</v>
      </c>
      <c r="J257" s="11" t="s">
        <v>1220</v>
      </c>
    </row>
    <row r="258" spans="1:10" x14ac:dyDescent="0.3">
      <c r="B258" s="3" t="s">
        <v>1207</v>
      </c>
      <c r="C258" s="24">
        <f>COUNTIF('MOBAYE_Cleaned Data'!YJ:YJ,"1")</f>
        <v>0</v>
      </c>
      <c r="D258" s="24">
        <f>COUNTIF('MOBAYE_Cleaned Data'!YK:YK,"1")</f>
        <v>2</v>
      </c>
      <c r="E258" s="24">
        <f>COUNTIF('MOBAYE_Cleaned Data'!YL:YL,"1")</f>
        <v>1</v>
      </c>
      <c r="F258" s="24">
        <f>COUNTIF('MOBAYE_Cleaned Data'!YM:YM,"1")</f>
        <v>1</v>
      </c>
      <c r="G258" s="24">
        <f>COUNTIF('MOBAYE_Cleaned Data'!YN:YN,"1")</f>
        <v>1</v>
      </c>
      <c r="H258" s="24">
        <f>COUNTIF('MOBAYE_Cleaned Data'!YO:YO,"1")</f>
        <v>1</v>
      </c>
      <c r="I258" s="24">
        <f>COUNTIF('MOBAYE_Cleaned Data'!YP:YP,"1")</f>
        <v>0</v>
      </c>
      <c r="J258" s="24">
        <f>COUNTIF('MOBAYE_Cleaned Data'!YQ:YQ,"1")</f>
        <v>0</v>
      </c>
    </row>
    <row r="259" spans="1:10" ht="49" x14ac:dyDescent="0.3">
      <c r="B259" s="53" t="s">
        <v>3314</v>
      </c>
      <c r="C259" s="120">
        <f>C258/$B$253</f>
        <v>0</v>
      </c>
      <c r="D259" s="120">
        <f t="shared" ref="D259:J259" si="18">D258/$B$253</f>
        <v>1</v>
      </c>
      <c r="E259" s="120">
        <f t="shared" si="18"/>
        <v>0.5</v>
      </c>
      <c r="F259" s="120">
        <f t="shared" si="18"/>
        <v>0.5</v>
      </c>
      <c r="G259" s="120">
        <f t="shared" si="18"/>
        <v>0.5</v>
      </c>
      <c r="H259" s="120">
        <f t="shared" si="18"/>
        <v>0.5</v>
      </c>
      <c r="I259" s="120">
        <f t="shared" si="18"/>
        <v>0</v>
      </c>
      <c r="J259" s="120">
        <f t="shared" si="18"/>
        <v>0</v>
      </c>
    </row>
    <row r="261" spans="1:10" x14ac:dyDescent="0.3">
      <c r="B261" s="18" t="s">
        <v>1504</v>
      </c>
    </row>
    <row r="262" spans="1:10" x14ac:dyDescent="0.3">
      <c r="B262" s="3"/>
      <c r="C262" s="6" t="s">
        <v>1210</v>
      </c>
      <c r="D262" s="6" t="s">
        <v>1209</v>
      </c>
      <c r="E262" s="110" t="s">
        <v>1206</v>
      </c>
    </row>
    <row r="263" spans="1:10" x14ac:dyDescent="0.3">
      <c r="B263" s="3" t="s">
        <v>1207</v>
      </c>
      <c r="C263" s="4">
        <f>COUNTIF('MOBAYE_Cleaned Data'!YS:YS,"oui")</f>
        <v>1</v>
      </c>
      <c r="D263" s="4">
        <f>COUNTIF('MOBAYE_Cleaned Data'!YS:YS,"non")</f>
        <v>1</v>
      </c>
      <c r="E263" s="111">
        <f>SUM(C263:D263)</f>
        <v>2</v>
      </c>
    </row>
    <row r="264" spans="1:10" ht="49" x14ac:dyDescent="0.3">
      <c r="B264" s="53" t="s">
        <v>3314</v>
      </c>
      <c r="C264" s="7">
        <f>(C263/$B$253)</f>
        <v>0.5</v>
      </c>
      <c r="D264" s="7">
        <f>(D263/$B$253)</f>
        <v>0.5</v>
      </c>
      <c r="E264" s="100">
        <f>SUM(C264:D264)</f>
        <v>1</v>
      </c>
    </row>
    <row r="266" spans="1:10" x14ac:dyDescent="0.3">
      <c r="C266" s="18" t="s">
        <v>1262</v>
      </c>
      <c r="E266" s="103" t="s">
        <v>3245</v>
      </c>
    </row>
    <row r="267" spans="1:10" ht="28" x14ac:dyDescent="0.3">
      <c r="C267" s="3"/>
      <c r="D267" s="11" t="s">
        <v>1505</v>
      </c>
      <c r="E267" s="11" t="s">
        <v>1506</v>
      </c>
      <c r="F267" s="11" t="s">
        <v>1507</v>
      </c>
      <c r="G267" s="11" t="s">
        <v>1508</v>
      </c>
      <c r="H267" s="11" t="s">
        <v>1220</v>
      </c>
    </row>
    <row r="268" spans="1:10" x14ac:dyDescent="0.3">
      <c r="C268" s="3" t="s">
        <v>1207</v>
      </c>
      <c r="D268" s="24">
        <f>COUNTIF('MOBAYE_Cleaned Data'!YU:YU,"1")</f>
        <v>1</v>
      </c>
      <c r="E268" s="24">
        <f>COUNTIF('MOBAYE_Cleaned Data'!YV:YV,"1")</f>
        <v>0</v>
      </c>
      <c r="F268" s="24">
        <f>COUNTIF('MOBAYE_Cleaned Data'!YW:YW,"1")</f>
        <v>0</v>
      </c>
      <c r="G268" s="24">
        <f>COUNTIF('MOBAYE_Cleaned Data'!YX:YX,"1")</f>
        <v>0</v>
      </c>
      <c r="H268" s="24">
        <f>COUNTIF('MOBAYE_Cleaned Data'!YY:YY,"1")</f>
        <v>0</v>
      </c>
    </row>
    <row r="269" spans="1:10" ht="60.5" x14ac:dyDescent="0.3">
      <c r="C269" s="53" t="s">
        <v>3314</v>
      </c>
      <c r="D269" s="7">
        <f>(D268/$B$253)</f>
        <v>0.5</v>
      </c>
      <c r="E269" s="7">
        <f t="shared" ref="E269:H269" si="19">(E268/$B$253)</f>
        <v>0</v>
      </c>
      <c r="F269" s="7">
        <f t="shared" si="19"/>
        <v>0</v>
      </c>
      <c r="G269" s="7">
        <f t="shared" si="19"/>
        <v>0</v>
      </c>
      <c r="H269" s="7">
        <f t="shared" si="19"/>
        <v>0</v>
      </c>
    </row>
    <row r="271" spans="1:10" ht="15.5" x14ac:dyDescent="0.35">
      <c r="A271" s="29" t="s">
        <v>1509</v>
      </c>
    </row>
    <row r="272" spans="1:10" x14ac:dyDescent="0.3">
      <c r="A272" s="3"/>
      <c r="B272" s="8" t="s">
        <v>1210</v>
      </c>
      <c r="C272" s="8" t="s">
        <v>1209</v>
      </c>
      <c r="D272" s="110" t="s">
        <v>1206</v>
      </c>
    </row>
    <row r="273" spans="1:4" x14ac:dyDescent="0.3">
      <c r="A273" s="3" t="s">
        <v>1207</v>
      </c>
      <c r="B273" s="4">
        <f>COUNTIF('MOBAYE_Cleaned Data'!ZA:ZA,"OUI")</f>
        <v>2</v>
      </c>
      <c r="C273" s="4">
        <f>COUNTIF('MOBAYE_Cleaned Data'!ZA:ZA,"non")</f>
        <v>0</v>
      </c>
      <c r="D273" s="111">
        <f>SUM(B273:C273)</f>
        <v>2</v>
      </c>
    </row>
    <row r="274" spans="1:4" ht="37.5" x14ac:dyDescent="0.3">
      <c r="A274" s="53" t="s">
        <v>3290</v>
      </c>
      <c r="B274" s="39">
        <f>(B273/$E$9)</f>
        <v>1</v>
      </c>
      <c r="C274" s="39">
        <f>(C273/$E$9)</f>
        <v>0</v>
      </c>
      <c r="D274" s="100">
        <f>SUM(B274:C274)</f>
        <v>1</v>
      </c>
    </row>
    <row r="275" spans="1:4" x14ac:dyDescent="0.3">
      <c r="D275" s="124"/>
    </row>
    <row r="276" spans="1:4" ht="15.5" x14ac:dyDescent="0.35">
      <c r="A276" s="29" t="s">
        <v>1511</v>
      </c>
    </row>
    <row r="277" spans="1:4" x14ac:dyDescent="0.3">
      <c r="A277" s="3"/>
      <c r="B277" s="8" t="s">
        <v>1210</v>
      </c>
      <c r="C277" s="8" t="s">
        <v>1209</v>
      </c>
      <c r="D277" s="110" t="s">
        <v>1206</v>
      </c>
    </row>
    <row r="278" spans="1:4" x14ac:dyDescent="0.3">
      <c r="A278" s="3" t="s">
        <v>1207</v>
      </c>
      <c r="B278" s="4">
        <f>COUNTIF('MOBAYE_Cleaned Data'!ZF:ZF,"OUI")</f>
        <v>1</v>
      </c>
      <c r="C278" s="4">
        <f>COUNTIF('MOBAYE_Cleaned Data'!ZF:ZF,"non")</f>
        <v>1</v>
      </c>
      <c r="D278" s="111">
        <f>SUM(B278:C278)</f>
        <v>2</v>
      </c>
    </row>
    <row r="279" spans="1:4" ht="37.5" x14ac:dyDescent="0.3">
      <c r="A279" s="53" t="s">
        <v>3290</v>
      </c>
      <c r="B279" s="39">
        <f>(B278/$E$9)</f>
        <v>0.5</v>
      </c>
      <c r="C279" s="39">
        <f>(C278/$E$9)</f>
        <v>0.5</v>
      </c>
      <c r="D279" s="100">
        <f>SUM(B279:C279)</f>
        <v>1</v>
      </c>
    </row>
    <row r="280" spans="1:4" x14ac:dyDescent="0.3">
      <c r="D280" s="124"/>
    </row>
    <row r="281" spans="1:4" ht="15.5" x14ac:dyDescent="0.35">
      <c r="A281" s="29" t="s">
        <v>1510</v>
      </c>
    </row>
    <row r="282" spans="1:4" x14ac:dyDescent="0.3">
      <c r="A282" s="3"/>
      <c r="B282" s="8" t="s">
        <v>1210</v>
      </c>
      <c r="C282" s="8" t="s">
        <v>1209</v>
      </c>
      <c r="D282" s="110" t="s">
        <v>1206</v>
      </c>
    </row>
    <row r="283" spans="1:4" x14ac:dyDescent="0.3">
      <c r="A283" s="3" t="s">
        <v>1207</v>
      </c>
      <c r="B283" s="4">
        <f>COUNTIF('MOBAYE_Cleaned Data'!ZK:ZK,"OUI")</f>
        <v>1</v>
      </c>
      <c r="C283" s="4">
        <f>COUNTIF('MOBAYE_Cleaned Data'!ZK:ZK,"non")</f>
        <v>1</v>
      </c>
      <c r="D283" s="111">
        <f>SUM(B283:C283)</f>
        <v>2</v>
      </c>
    </row>
    <row r="284" spans="1:4" ht="37.5" x14ac:dyDescent="0.3">
      <c r="A284" s="53" t="s">
        <v>3290</v>
      </c>
      <c r="B284" s="39">
        <f>(B283/$E$9)</f>
        <v>0.5</v>
      </c>
      <c r="C284" s="39">
        <f>(C283/$E$9)</f>
        <v>0.5</v>
      </c>
      <c r="D284" s="100">
        <f>SUM(B284:C284)</f>
        <v>1</v>
      </c>
    </row>
    <row r="285" spans="1:4" x14ac:dyDescent="0.3">
      <c r="D285" s="124"/>
    </row>
    <row r="286" spans="1:4" ht="15.5" x14ac:dyDescent="0.35">
      <c r="A286" s="29" t="s">
        <v>1512</v>
      </c>
    </row>
    <row r="287" spans="1:4" x14ac:dyDescent="0.3">
      <c r="A287" s="3"/>
      <c r="B287" s="8" t="s">
        <v>1210</v>
      </c>
      <c r="C287" s="8" t="s">
        <v>1209</v>
      </c>
      <c r="D287" s="110" t="s">
        <v>1206</v>
      </c>
    </row>
    <row r="288" spans="1:4" x14ac:dyDescent="0.3">
      <c r="A288" s="3" t="s">
        <v>1207</v>
      </c>
      <c r="B288" s="4">
        <f>COUNTIF('MOBAYE_Cleaned Data'!ZL:ZL,"OUI")</f>
        <v>2</v>
      </c>
      <c r="C288" s="4">
        <f>COUNTIF('MOBAYE_Cleaned Data'!ZL:ZL,"non")</f>
        <v>0</v>
      </c>
      <c r="D288" s="111">
        <f>SUM(B288:C288)</f>
        <v>2</v>
      </c>
    </row>
    <row r="289" spans="1:4" ht="37.5" x14ac:dyDescent="0.3">
      <c r="A289" s="53" t="s">
        <v>3290</v>
      </c>
      <c r="B289" s="39">
        <f>(B288/$E$9)</f>
        <v>1</v>
      </c>
      <c r="C289" s="39">
        <f>(C288/$E$9)</f>
        <v>0</v>
      </c>
      <c r="D289" s="100">
        <f>SUM(B289:C289)</f>
        <v>1</v>
      </c>
    </row>
    <row r="290" spans="1:4" x14ac:dyDescent="0.3">
      <c r="D290" s="124"/>
    </row>
    <row r="291" spans="1:4" ht="15.5" x14ac:dyDescent="0.35">
      <c r="A291" s="29" t="s">
        <v>1513</v>
      </c>
    </row>
    <row r="292" spans="1:4" x14ac:dyDescent="0.3">
      <c r="A292" s="3"/>
      <c r="B292" s="8" t="s">
        <v>1210</v>
      </c>
      <c r="C292" s="8" t="s">
        <v>1209</v>
      </c>
      <c r="D292" s="110" t="s">
        <v>1206</v>
      </c>
    </row>
    <row r="293" spans="1:4" x14ac:dyDescent="0.3">
      <c r="A293" s="3" t="s">
        <v>1207</v>
      </c>
      <c r="B293" s="4">
        <f>COUNTIF('MOBAYE_Cleaned Data'!ZN:ZN,"OUI")</f>
        <v>2</v>
      </c>
      <c r="C293" s="4">
        <f>COUNTIF('MOBAYE_Cleaned Data'!ZN:ZN,"non")</f>
        <v>0</v>
      </c>
      <c r="D293" s="111">
        <f>SUM(B293:C293)</f>
        <v>2</v>
      </c>
    </row>
    <row r="294" spans="1:4" ht="37.5" x14ac:dyDescent="0.3">
      <c r="A294" s="53" t="s">
        <v>3290</v>
      </c>
      <c r="B294" s="39">
        <f>(B293/$E$9)</f>
        <v>1</v>
      </c>
      <c r="C294" s="39">
        <f>(C293/$E$9)</f>
        <v>0</v>
      </c>
      <c r="D294" s="100">
        <f>SUM(B294:C294)</f>
        <v>1</v>
      </c>
    </row>
    <row r="295" spans="1:4" x14ac:dyDescent="0.3">
      <c r="D295" s="124"/>
    </row>
    <row r="296" spans="1:4" ht="15.5" x14ac:dyDescent="0.35">
      <c r="A296" s="29" t="s">
        <v>1514</v>
      </c>
    </row>
    <row r="297" spans="1:4" x14ac:dyDescent="0.3">
      <c r="A297" s="3"/>
      <c r="B297" s="8" t="s">
        <v>1210</v>
      </c>
      <c r="C297" s="8" t="s">
        <v>1209</v>
      </c>
      <c r="D297" s="110" t="s">
        <v>1206</v>
      </c>
    </row>
    <row r="298" spans="1:4" x14ac:dyDescent="0.3">
      <c r="A298" s="3" t="s">
        <v>1207</v>
      </c>
      <c r="B298" s="4">
        <f>COUNTIF('MOBAYE_Cleaned Data'!ZO:ZO,"OUI")</f>
        <v>2</v>
      </c>
      <c r="C298" s="4">
        <f>COUNTIF('MOBAYE_Cleaned Data'!ZO:ZO,"non")</f>
        <v>0</v>
      </c>
      <c r="D298" s="111">
        <f>SUM(B298:C298)</f>
        <v>2</v>
      </c>
    </row>
    <row r="299" spans="1:4" ht="37.5" x14ac:dyDescent="0.3">
      <c r="A299" s="53" t="s">
        <v>3290</v>
      </c>
      <c r="B299" s="39">
        <f>(B298/$E$9)</f>
        <v>1</v>
      </c>
      <c r="C299" s="39">
        <f>(C298/$E$9)</f>
        <v>0</v>
      </c>
      <c r="D299" s="100">
        <f>SUM(B299:C299)</f>
        <v>1</v>
      </c>
    </row>
    <row r="300" spans="1:4" x14ac:dyDescent="0.3">
      <c r="A300" s="97"/>
      <c r="B300" s="15"/>
      <c r="C300" s="15"/>
      <c r="D300" s="124"/>
    </row>
    <row r="301" spans="1:4" ht="15.5" x14ac:dyDescent="0.35">
      <c r="A301" s="29" t="s">
        <v>1515</v>
      </c>
    </row>
    <row r="302" spans="1:4" x14ac:dyDescent="0.3">
      <c r="A302" s="3"/>
      <c r="B302" s="8" t="s">
        <v>1210</v>
      </c>
      <c r="C302" s="8" t="s">
        <v>1209</v>
      </c>
      <c r="D302" s="110" t="s">
        <v>1206</v>
      </c>
    </row>
    <row r="303" spans="1:4" x14ac:dyDescent="0.3">
      <c r="A303" s="3" t="s">
        <v>1207</v>
      </c>
      <c r="B303" s="4">
        <f>COUNTIF('MOBAYE_Cleaned Data'!ZQ:ZQ,"OUI")</f>
        <v>1</v>
      </c>
      <c r="C303" s="4">
        <f>COUNTIF('MOBAYE_Cleaned Data'!ZQ:ZQ,"non")</f>
        <v>1</v>
      </c>
      <c r="D303" s="111">
        <f>SUM(B303:C303)</f>
        <v>2</v>
      </c>
    </row>
    <row r="304" spans="1:4" ht="37.5" x14ac:dyDescent="0.3">
      <c r="A304" s="53" t="s">
        <v>3290</v>
      </c>
      <c r="B304" s="39">
        <f>(B303/$E$9)</f>
        <v>0.5</v>
      </c>
      <c r="C304" s="39">
        <f>(C303/$E$9)</f>
        <v>0.5</v>
      </c>
      <c r="D304" s="100">
        <f>SUM(B304:C304)</f>
        <v>1</v>
      </c>
    </row>
  </sheetData>
  <mergeCells count="2">
    <mergeCell ref="A4:B4"/>
    <mergeCell ref="A138:D138"/>
  </mergeCells>
  <conditionalFormatting sqref="A94:M95 D99:M101 D105:M106 F102:M104 D110:M110 J107:M109 B92:N92 D116 D120:M120 L117:M119 F96:M98 F116:M116">
    <cfRule type="colorScale" priority="53">
      <colorScale>
        <cfvo type="min"/>
        <cfvo type="max"/>
        <color theme="6" tint="0.79998168889431442"/>
        <color theme="5" tint="0.39997558519241921"/>
      </colorScale>
    </cfRule>
  </conditionalFormatting>
  <conditionalFormatting sqref="B134:F134">
    <cfRule type="colorScale" priority="52">
      <colorScale>
        <cfvo type="min"/>
        <cfvo type="max"/>
        <color theme="6" tint="0.79998168889431442"/>
        <color theme="5" tint="0.39997558519241921"/>
      </colorScale>
    </cfRule>
  </conditionalFormatting>
  <conditionalFormatting sqref="D157:M157">
    <cfRule type="colorScale" priority="51">
      <colorScale>
        <cfvo type="min"/>
        <cfvo type="max"/>
        <color theme="6" tint="0.79998168889431442"/>
        <color theme="5" tint="0.39997558519241921"/>
      </colorScale>
    </cfRule>
  </conditionalFormatting>
  <conditionalFormatting sqref="B162:G162">
    <cfRule type="colorScale" priority="50">
      <colorScale>
        <cfvo type="min"/>
        <cfvo type="max"/>
        <color theme="6" tint="0.79998168889431442"/>
        <color theme="5" tint="0.39997558519241921"/>
      </colorScale>
    </cfRule>
  </conditionalFormatting>
  <conditionalFormatting sqref="B44:J44">
    <cfRule type="colorScale" priority="49">
      <colorScale>
        <cfvo type="min"/>
        <cfvo type="max"/>
        <color theme="6" tint="0.79998168889431442"/>
        <color theme="5" tint="0.39997558519241921"/>
      </colorScale>
    </cfRule>
  </conditionalFormatting>
  <conditionalFormatting sqref="D118:K118">
    <cfRule type="colorScale" priority="48">
      <colorScale>
        <cfvo type="min"/>
        <cfvo type="max"/>
        <color theme="6" tint="0.79998168889431442"/>
        <color theme="5" tint="0.39997558519241921"/>
      </colorScale>
    </cfRule>
  </conditionalFormatting>
  <conditionalFormatting sqref="B189:F189">
    <cfRule type="colorScale" priority="47">
      <colorScale>
        <cfvo type="min"/>
        <cfvo type="max"/>
        <color theme="6" tint="0.79998168889431442"/>
        <color theme="5" tint="0.39997558519241921"/>
      </colorScale>
    </cfRule>
  </conditionalFormatting>
  <conditionalFormatting sqref="A181:F182 B179:G179 E183:F185">
    <cfRule type="colorScale" priority="46">
      <colorScale>
        <cfvo type="min"/>
        <cfvo type="max"/>
        <color theme="6" tint="0.79998168889431442"/>
        <color theme="5" tint="0.39997558519241921"/>
      </colorScale>
    </cfRule>
  </conditionalFormatting>
  <conditionalFormatting sqref="A194:P194">
    <cfRule type="colorScale" priority="45">
      <colorScale>
        <cfvo type="min"/>
        <cfvo type="max"/>
        <color theme="6" tint="0.79998168889431442"/>
        <color theme="5" tint="0.39997558519241921"/>
      </colorScale>
    </cfRule>
  </conditionalFormatting>
  <conditionalFormatting sqref="A198:L198">
    <cfRule type="colorScale" priority="44">
      <colorScale>
        <cfvo type="min"/>
        <cfvo type="max"/>
        <color theme="6" tint="0.79998168889431442"/>
        <color theme="5" tint="0.39997558519241921"/>
      </colorScale>
    </cfRule>
  </conditionalFormatting>
  <conditionalFormatting sqref="A228:M228">
    <cfRule type="colorScale" priority="43">
      <colorScale>
        <cfvo type="min"/>
        <cfvo type="max"/>
        <color theme="6" tint="0.79998168889431442"/>
        <color theme="5" tint="0.39997558519241921"/>
      </colorScale>
    </cfRule>
  </conditionalFormatting>
  <conditionalFormatting sqref="C238:J238">
    <cfRule type="colorScale" priority="42">
      <colorScale>
        <cfvo type="min"/>
        <cfvo type="max"/>
        <color theme="6" tint="0.79998168889431442"/>
        <color theme="5" tint="0.39997558519241921"/>
      </colorScale>
    </cfRule>
  </conditionalFormatting>
  <conditionalFormatting sqref="C258:J258">
    <cfRule type="colorScale" priority="41">
      <colorScale>
        <cfvo type="min"/>
        <cfvo type="max"/>
        <color theme="6" tint="0.79998168889431442"/>
        <color theme="5" tint="0.39997558519241921"/>
      </colorScale>
    </cfRule>
  </conditionalFormatting>
  <conditionalFormatting sqref="D268:H268">
    <cfRule type="colorScale" priority="40">
      <colorScale>
        <cfvo type="min"/>
        <cfvo type="max"/>
        <color theme="6" tint="0.79998168889431442"/>
        <color theme="5" tint="0.39997558519241921"/>
      </colorScale>
    </cfRule>
  </conditionalFormatting>
  <conditionalFormatting sqref="B9:D9">
    <cfRule type="colorScale" priority="39">
      <colorScale>
        <cfvo type="min"/>
        <cfvo type="max"/>
        <color theme="6" tint="0.79998168889431442"/>
        <color theme="5" tint="0.39997558519241921"/>
      </colorScale>
    </cfRule>
  </conditionalFormatting>
  <conditionalFormatting sqref="C14:M14">
    <cfRule type="colorScale" priority="38">
      <colorScale>
        <cfvo type="min"/>
        <cfvo type="max"/>
        <color theme="6" tint="0.79998168889431442"/>
        <color theme="5" tint="0.39997558519241921"/>
      </colorScale>
    </cfRule>
  </conditionalFormatting>
  <conditionalFormatting sqref="C19:G19">
    <cfRule type="colorScale" priority="37">
      <colorScale>
        <cfvo type="min"/>
        <cfvo type="max"/>
        <color theme="6" tint="0.79998168889431442"/>
        <color theme="5" tint="0.39997558519241921"/>
      </colorScale>
    </cfRule>
  </conditionalFormatting>
  <conditionalFormatting sqref="C29:G29">
    <cfRule type="colorScale" priority="36">
      <colorScale>
        <cfvo type="min"/>
        <cfvo type="max"/>
        <color theme="6" tint="0.79998168889431442"/>
        <color theme="5" tint="0.39997558519241921"/>
      </colorScale>
    </cfRule>
  </conditionalFormatting>
  <conditionalFormatting sqref="B49:D49">
    <cfRule type="colorScale" priority="35">
      <colorScale>
        <cfvo type="min"/>
        <cfvo type="max"/>
        <color theme="6" tint="0.79998168889431442"/>
        <color theme="5" tint="0.39997558519241921"/>
      </colorScale>
    </cfRule>
  </conditionalFormatting>
  <conditionalFormatting sqref="C57:D57">
    <cfRule type="colorScale" priority="34">
      <colorScale>
        <cfvo type="min"/>
        <cfvo type="max"/>
        <color theme="6" tint="0.79998168889431442"/>
        <color theme="5" tint="0.39997558519241921"/>
      </colorScale>
    </cfRule>
  </conditionalFormatting>
  <conditionalFormatting sqref="C66:D66">
    <cfRule type="colorScale" priority="33">
      <colorScale>
        <cfvo type="min"/>
        <cfvo type="max"/>
        <color theme="6" tint="0.79998168889431442"/>
        <color theme="5" tint="0.39997558519241921"/>
      </colorScale>
    </cfRule>
  </conditionalFormatting>
  <conditionalFormatting sqref="B71:C71">
    <cfRule type="colorScale" priority="32">
      <colorScale>
        <cfvo type="min"/>
        <cfvo type="max"/>
        <color theme="6" tint="0.79998168889431442"/>
        <color theme="5" tint="0.39997558519241921"/>
      </colorScale>
    </cfRule>
  </conditionalFormatting>
  <conditionalFormatting sqref="B81:C81">
    <cfRule type="colorScale" priority="31">
      <colorScale>
        <cfvo type="min"/>
        <cfvo type="max"/>
        <color theme="6" tint="0.79998168889431442"/>
        <color theme="5" tint="0.39997558519241921"/>
      </colorScale>
    </cfRule>
  </conditionalFormatting>
  <conditionalFormatting sqref="B34:C34">
    <cfRule type="colorScale" priority="30">
      <colorScale>
        <cfvo type="min"/>
        <cfvo type="max"/>
        <color theme="6" tint="0.79998168889431442"/>
        <color theme="5" tint="0.39997558519241921"/>
      </colorScale>
    </cfRule>
  </conditionalFormatting>
  <conditionalFormatting sqref="C39:E39">
    <cfRule type="colorScale" priority="29">
      <colorScale>
        <cfvo type="min"/>
        <cfvo type="max"/>
        <color theme="6" tint="0.79998168889431442"/>
        <color theme="5" tint="0.39997558519241921"/>
      </colorScale>
    </cfRule>
  </conditionalFormatting>
  <conditionalFormatting sqref="B129:C129">
    <cfRule type="colorScale" priority="28">
      <colorScale>
        <cfvo type="min"/>
        <cfvo type="max"/>
        <color theme="6" tint="0.79998168889431442"/>
        <color theme="5" tint="0.39997558519241921"/>
      </colorScale>
    </cfRule>
  </conditionalFormatting>
  <conditionalFormatting sqref="B142:C142">
    <cfRule type="colorScale" priority="27">
      <colorScale>
        <cfvo type="min"/>
        <cfvo type="max"/>
        <color theme="6" tint="0.79998168889431442"/>
        <color theme="5" tint="0.39997558519241921"/>
      </colorScale>
    </cfRule>
  </conditionalFormatting>
  <conditionalFormatting sqref="D154:J154">
    <cfRule type="colorScale" priority="26">
      <colorScale>
        <cfvo type="min"/>
        <cfvo type="max"/>
        <color theme="6" tint="0.79998168889431442"/>
        <color theme="5" tint="0.39997558519241921"/>
      </colorScale>
    </cfRule>
  </conditionalFormatting>
  <conditionalFormatting sqref="D152:J152">
    <cfRule type="colorScale" priority="25">
      <colorScale>
        <cfvo type="min"/>
        <cfvo type="max"/>
        <color theme="6" tint="0.79998168889431442"/>
        <color theme="5" tint="0.39997558519241921"/>
      </colorScale>
    </cfRule>
  </conditionalFormatting>
  <conditionalFormatting sqref="C103:D103">
    <cfRule type="colorScale" priority="24">
      <colorScale>
        <cfvo type="min"/>
        <cfvo type="max"/>
        <color theme="6" tint="0.79998168889431442"/>
        <color theme="5" tint="0.39997558519241921"/>
      </colorScale>
    </cfRule>
  </conditionalFormatting>
  <conditionalFormatting sqref="K115:M115 D111 L112:M114 F111:M111">
    <cfRule type="colorScale" priority="23">
      <colorScale>
        <cfvo type="min"/>
        <cfvo type="max"/>
        <color theme="6" tint="0.79998168889431442"/>
        <color theme="5" tint="0.39997558519241921"/>
      </colorScale>
    </cfRule>
  </conditionalFormatting>
  <conditionalFormatting sqref="D115:J115 D113:K113">
    <cfRule type="colorScale" priority="22">
      <colorScale>
        <cfvo type="min"/>
        <cfvo type="max"/>
        <color theme="6" tint="0.79998168889431442"/>
        <color theme="5" tint="0.39997558519241921"/>
      </colorScale>
    </cfRule>
  </conditionalFormatting>
  <conditionalFormatting sqref="B184:C184">
    <cfRule type="colorScale" priority="21">
      <colorScale>
        <cfvo type="min"/>
        <cfvo type="max"/>
        <color theme="6" tint="0.79998168889431442"/>
        <color theme="5" tint="0.39997558519241921"/>
      </colorScale>
    </cfRule>
  </conditionalFormatting>
  <conditionalFormatting sqref="B202:C202">
    <cfRule type="colorScale" priority="20">
      <colorScale>
        <cfvo type="min"/>
        <cfvo type="max"/>
        <color theme="6" tint="0.79998168889431442"/>
        <color theme="5" tint="0.39997558519241921"/>
      </colorScale>
    </cfRule>
  </conditionalFormatting>
  <conditionalFormatting sqref="C213:O213">
    <cfRule type="colorScale" priority="19">
      <colorScale>
        <cfvo type="min"/>
        <cfvo type="max"/>
        <color theme="6" tint="0.79998168889431442"/>
        <color theme="5" tint="0.39997558519241921"/>
      </colorScale>
    </cfRule>
  </conditionalFormatting>
  <conditionalFormatting sqref="D223:H223">
    <cfRule type="colorScale" priority="18">
      <colorScale>
        <cfvo type="min"/>
        <cfvo type="max"/>
        <color theme="6" tint="0.79998168889431442"/>
        <color theme="5" tint="0.39997558519241921"/>
      </colorScale>
    </cfRule>
  </conditionalFormatting>
  <conditionalFormatting sqref="C207:I207">
    <cfRule type="colorScale" priority="17">
      <colorScale>
        <cfvo type="min"/>
        <cfvo type="max"/>
        <color theme="6" tint="0.79998168889431442"/>
        <color theme="5" tint="0.39997558519241921"/>
      </colorScale>
    </cfRule>
  </conditionalFormatting>
  <conditionalFormatting sqref="C218:D218">
    <cfRule type="colorScale" priority="16">
      <colorScale>
        <cfvo type="min"/>
        <cfvo type="max"/>
        <color theme="6" tint="0.79998168889431442"/>
        <color theme="5" tint="0.39997558519241921"/>
      </colorScale>
    </cfRule>
  </conditionalFormatting>
  <conditionalFormatting sqref="B233:C233">
    <cfRule type="colorScale" priority="15">
      <colorScale>
        <cfvo type="min"/>
        <cfvo type="max"/>
        <color theme="6" tint="0.79998168889431442"/>
        <color theme="5" tint="0.39997558519241921"/>
      </colorScale>
    </cfRule>
  </conditionalFormatting>
  <conditionalFormatting sqref="B243:C243">
    <cfRule type="colorScale" priority="14">
      <colorScale>
        <cfvo type="min"/>
        <cfvo type="max"/>
        <color theme="6" tint="0.79998168889431442"/>
        <color theme="5" tint="0.39997558519241921"/>
      </colorScale>
    </cfRule>
  </conditionalFormatting>
  <conditionalFormatting sqref="B248:C248">
    <cfRule type="colorScale" priority="13">
      <colorScale>
        <cfvo type="min"/>
        <cfvo type="max"/>
        <color theme="6" tint="0.79998168889431442"/>
        <color theme="5" tint="0.39997558519241921"/>
      </colorScale>
    </cfRule>
  </conditionalFormatting>
  <conditionalFormatting sqref="B253:C253">
    <cfRule type="colorScale" priority="12">
      <colorScale>
        <cfvo type="min"/>
        <cfvo type="max"/>
        <color theme="6" tint="0.79998168889431442"/>
        <color theme="5" tint="0.39997558519241921"/>
      </colorScale>
    </cfRule>
  </conditionalFormatting>
  <conditionalFormatting sqref="C263:D263">
    <cfRule type="colorScale" priority="11">
      <colorScale>
        <cfvo type="min"/>
        <cfvo type="max"/>
        <color theme="6" tint="0.79998168889431442"/>
        <color theme="5" tint="0.39997558519241921"/>
      </colorScale>
    </cfRule>
  </conditionalFormatting>
  <conditionalFormatting sqref="B123:G123">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B97:D97">
    <cfRule type="colorScale" priority="8">
      <colorScale>
        <cfvo type="min"/>
        <cfvo type="max"/>
        <color theme="6" tint="0.79998168889431442"/>
        <color theme="5" tint="0.39997558519241921"/>
      </colorScale>
    </cfRule>
  </conditionalFormatting>
  <conditionalFormatting sqref="C147:F147">
    <cfRule type="colorScale" priority="7">
      <colorScale>
        <cfvo type="min"/>
        <cfvo type="max"/>
        <color theme="6" tint="0.79998168889431442"/>
        <color theme="5" tint="0.39997558519241921"/>
      </colorScale>
    </cfRule>
  </conditionalFormatting>
  <conditionalFormatting sqref="C24:J24">
    <cfRule type="colorScale" priority="6">
      <colorScale>
        <cfvo type="min"/>
        <cfvo type="max"/>
        <color theme="6" tint="0.79998168889431442"/>
        <color theme="5" tint="0.39997558519241921"/>
      </colorScale>
    </cfRule>
  </conditionalFormatting>
  <conditionalFormatting sqref="K24">
    <cfRule type="colorScale" priority="5">
      <colorScale>
        <cfvo type="min"/>
        <cfvo type="max"/>
        <color theme="6" tint="0.79998168889431442"/>
        <color theme="5" tint="0.39997558519241921"/>
      </colorScale>
    </cfRule>
  </conditionalFormatting>
  <conditionalFormatting sqref="L24">
    <cfRule type="colorScale" priority="4">
      <colorScale>
        <cfvo type="min"/>
        <cfvo type="max"/>
        <color theme="6" tint="0.79998168889431442"/>
        <color theme="5" tint="0.39997558519241921"/>
      </colorScale>
    </cfRule>
  </conditionalFormatting>
  <conditionalFormatting sqref="C76:G76">
    <cfRule type="colorScale" priority="3">
      <colorScale>
        <cfvo type="min"/>
        <cfvo type="max"/>
        <color theme="6" tint="0.79998168889431442"/>
        <color theme="5" tint="0.39997558519241921"/>
      </colorScale>
    </cfRule>
  </conditionalFormatting>
  <conditionalFormatting sqref="H108">
    <cfRule type="colorScale" priority="2">
      <colorScale>
        <cfvo type="min"/>
        <cfvo type="max"/>
        <color theme="6" tint="0.79998168889431442"/>
        <color theme="5" tint="0.39997558519241921"/>
      </colorScale>
    </cfRule>
  </conditionalFormatting>
  <conditionalFormatting sqref="D108:G108">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7C3"/>
    <pageSetUpPr fitToPage="1"/>
  </sheetPr>
  <dimension ref="A2:Z208"/>
  <sheetViews>
    <sheetView zoomScale="90" zoomScaleNormal="90" workbookViewId="0">
      <selection activeCell="L119" sqref="L119"/>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COUNTIFS('MOBAYE_Cleaned Data'!N:N,"education",'MOBAYE_Cleaned Data'!K:K,"MOBAYE")</f>
        <v>3</v>
      </c>
    </row>
    <row r="5" spans="1:7" ht="15.5" x14ac:dyDescent="0.35">
      <c r="A5" s="29" t="s">
        <v>1933</v>
      </c>
    </row>
    <row r="6" spans="1:7" ht="42" x14ac:dyDescent="0.3">
      <c r="A6" s="3"/>
      <c r="B6" s="8" t="s">
        <v>1275</v>
      </c>
      <c r="C6" s="8" t="s">
        <v>1276</v>
      </c>
      <c r="D6" s="8" t="s">
        <v>1277</v>
      </c>
      <c r="E6" s="8" t="s">
        <v>3337</v>
      </c>
      <c r="F6" s="51" t="s">
        <v>3274</v>
      </c>
    </row>
    <row r="7" spans="1:7" x14ac:dyDescent="0.3">
      <c r="A7" s="3" t="s">
        <v>1207</v>
      </c>
      <c r="B7" s="4">
        <f>COUNTIF('MOBAYE_Cleaned Data'!YK:ZT,"public")</f>
        <v>2</v>
      </c>
      <c r="C7" s="4">
        <f>COUNTIF('MOBAYE_Cleaned Data'!ZT:ZT,"prive")</f>
        <v>1</v>
      </c>
      <c r="D7" s="4">
        <f>COUNTIF('MOBAYE_Cleaned Data'!ZT:ZT,"religieux")</f>
        <v>0</v>
      </c>
      <c r="E7" s="4">
        <f>COUNTIF('MOBAYE_Cleaned Data'!ZT:ZT,"communautaire")</f>
        <v>0</v>
      </c>
      <c r="F7" s="52">
        <f>SUM(B7:E7)</f>
        <v>3</v>
      </c>
    </row>
    <row r="8" spans="1:7" ht="26" x14ac:dyDescent="0.3">
      <c r="A8" s="53" t="s">
        <v>3273</v>
      </c>
      <c r="B8" s="7">
        <f>(B7/$B$3)</f>
        <v>0.66666666666666663</v>
      </c>
      <c r="C8" s="7">
        <f t="shared" ref="C8:E8" si="0">(C7/$B$3)</f>
        <v>0.33333333333333331</v>
      </c>
      <c r="D8" s="7">
        <f t="shared" si="0"/>
        <v>0</v>
      </c>
      <c r="E8" s="7">
        <f t="shared" si="0"/>
        <v>0</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COUNTIF('MOBAYE_Cleaned Data'!ABE:ABE,"f1")</f>
        <v>3</v>
      </c>
      <c r="C12" s="4">
        <f>COUNTIF('MOBAYE_Cleaned Data'!ABE:ABE,"f2")</f>
        <v>0</v>
      </c>
      <c r="D12" s="4">
        <f>COUNTIF('MOBAYE_Cleaned Data'!ABE:ABE,"etp")</f>
        <v>0</v>
      </c>
      <c r="E12" s="4">
        <f>COUNTIF('MOBAYE_Cleaned Data'!ABE:ABE,"coranique")</f>
        <v>0</v>
      </c>
      <c r="F12" s="4">
        <f>COUNTIF('MOBAYE_Cleaned Data'!ABH:ABH,"autre")</f>
        <v>0</v>
      </c>
      <c r="G12" s="111">
        <f>SUM(B12:F12)</f>
        <v>3</v>
      </c>
    </row>
    <row r="13" spans="1:7" ht="26" x14ac:dyDescent="0.3">
      <c r="A13" s="53" t="s">
        <v>3273</v>
      </c>
      <c r="B13" s="7">
        <f>(B12/$B$3)</f>
        <v>1</v>
      </c>
      <c r="C13" s="7">
        <f t="shared" ref="C13:F13" si="1">(C12/$B$3)</f>
        <v>0</v>
      </c>
      <c r="D13" s="7">
        <f t="shared" si="1"/>
        <v>0</v>
      </c>
      <c r="E13" s="7">
        <f t="shared" si="1"/>
        <v>0</v>
      </c>
      <c r="F13" s="7">
        <f t="shared" si="1"/>
        <v>0</v>
      </c>
      <c r="G13" s="116">
        <f>SUM(B13:F13)</f>
        <v>1</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COUNTIF('MOBAYE_Cleaned Data'!ZV:ZV,"durable")</f>
        <v>3</v>
      </c>
      <c r="C18" s="4">
        <f>COUNTIF('MOBAYE_Cleaned Data'!ZV:ZV,"hangar")</f>
        <v>0</v>
      </c>
      <c r="D18" s="4">
        <f>COUNTIF('MOBAYE_Cleaned Data'!ZV:ZV,"hangar_traditionnel")</f>
        <v>0</v>
      </c>
      <c r="E18" s="111">
        <f>SUM(B18:D18)</f>
        <v>3</v>
      </c>
    </row>
    <row r="19" spans="1:26" ht="26" x14ac:dyDescent="0.3">
      <c r="A19" s="53" t="s">
        <v>3273</v>
      </c>
      <c r="B19" s="7">
        <f>B18/$B$3</f>
        <v>1</v>
      </c>
      <c r="C19" s="7">
        <f t="shared" ref="C19:D19" si="2">C18/$B$3</f>
        <v>0</v>
      </c>
      <c r="D19" s="7">
        <f t="shared" si="2"/>
        <v>0</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COUNTIF('MOBAYE_Cleaned Data'!ZX:ZX,"Oui")</f>
        <v>3</v>
      </c>
      <c r="C23" s="4">
        <f>COUNTIF('MOBAYE_Cleaned Data'!ZX:ZX,"non")</f>
        <v>0</v>
      </c>
      <c r="D23" s="4">
        <f>COUNTIF('MOBAYE_Cleaned Data'!ZX:ZX,"partiel")</f>
        <v>0</v>
      </c>
      <c r="E23" s="72">
        <f>B23+D23</f>
        <v>3</v>
      </c>
    </row>
    <row r="24" spans="1:26" ht="26" x14ac:dyDescent="0.3">
      <c r="A24" s="53" t="s">
        <v>3273</v>
      </c>
      <c r="B24" s="7">
        <f>B23/$B$3</f>
        <v>1</v>
      </c>
      <c r="C24" s="7">
        <f t="shared" ref="C24:D24" si="3">C23/$B$3</f>
        <v>0</v>
      </c>
      <c r="D24" s="7">
        <f t="shared" si="3"/>
        <v>0</v>
      </c>
      <c r="E24" s="119">
        <f>B24+D24</f>
        <v>1</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COUNTIF('MOBAYE_Cleaned Data'!AAK:AAK,"1")</f>
        <v>0</v>
      </c>
      <c r="D28" s="3">
        <f>COUNTIF('MOBAYE_Cleaned Data'!AAL:AAL,"1")</f>
        <v>0</v>
      </c>
      <c r="E28" s="3">
        <f>COUNTIF('MOBAYE_Cleaned Data'!AAM:AAM,"1")</f>
        <v>0</v>
      </c>
      <c r="F28" s="3">
        <f>COUNTIF('MOBAYE_Cleaned Data'!AAN:AAN,"1")</f>
        <v>0</v>
      </c>
      <c r="G28" s="3">
        <f>COUNTIF('MOBAYE_Cleaned Data'!AAO:AAO,"1")</f>
        <v>0</v>
      </c>
      <c r="H28" s="3">
        <f>COUNTIF('MOBAYE_Cleaned Data'!AAP:AAP,"1")</f>
        <v>0</v>
      </c>
      <c r="I28" s="3">
        <f>COUNTIF('MOBAYE_Cleaned Data'!AAQ:AAQ,"1")</f>
        <v>0</v>
      </c>
      <c r="J28" s="3">
        <f>COUNTIF('MOBAYE_Cleaned Data'!AAR:AAR,"1")</f>
        <v>0</v>
      </c>
      <c r="K28" s="3">
        <f>COUNTIF('MOBAYE_Cleaned Data'!AAS:AAS,"1")</f>
        <v>0</v>
      </c>
    </row>
    <row r="29" spans="1:26" ht="37.5" x14ac:dyDescent="0.3">
      <c r="B29" s="53" t="s">
        <v>3275</v>
      </c>
      <c r="C29" s="7" t="e">
        <f>C28/$C$23</f>
        <v>#DIV/0!</v>
      </c>
      <c r="D29" s="7" t="e">
        <f t="shared" ref="D29:K29" si="4">D28/$C$23</f>
        <v>#DIV/0!</v>
      </c>
      <c r="E29" s="7" t="e">
        <f t="shared" si="4"/>
        <v>#DIV/0!</v>
      </c>
      <c r="F29" s="7" t="e">
        <f t="shared" si="4"/>
        <v>#DIV/0!</v>
      </c>
      <c r="G29" s="7" t="e">
        <f t="shared" si="4"/>
        <v>#DIV/0!</v>
      </c>
      <c r="H29" s="7" t="e">
        <f t="shared" si="4"/>
        <v>#DIV/0!</v>
      </c>
      <c r="I29" s="7" t="e">
        <f t="shared" si="4"/>
        <v>#DIV/0!</v>
      </c>
      <c r="J29" s="7" t="e">
        <f t="shared" si="4"/>
        <v>#DIV/0!</v>
      </c>
      <c r="K29" s="7" t="e">
        <f t="shared" si="4"/>
        <v>#DIV/0!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COUNTIF('MOBAYE_Cleaned Data'!AAU:AAU,"moins_six_mois")</f>
        <v>0</v>
      </c>
      <c r="D33" s="3">
        <f>COUNTIF('MOBAYE_Cleaned Data'!AAU:AAU,"six_mois_un_an ")</f>
        <v>0</v>
      </c>
      <c r="E33" s="3">
        <f>COUNTIF('MOBAYE_Cleaned Data'!AAU:AAU,"un_an_trois_ans")</f>
        <v>0</v>
      </c>
      <c r="F33" s="3">
        <f>COUNTIF('MOBAYE_Cleaned Data'!AAU:AAU,"plus_trois_ans")</f>
        <v>0</v>
      </c>
      <c r="G33" s="3">
        <f>COUNTIF('MOBAYE_Cleaned Data'!AAU:AAU,"nsp")</f>
        <v>0</v>
      </c>
      <c r="H33" s="111">
        <f>SUM(C33:G33)</f>
        <v>0</v>
      </c>
      <c r="I33" s="10"/>
      <c r="J33" s="74" t="s">
        <v>2310</v>
      </c>
      <c r="K33" s="74"/>
      <c r="L33" s="10"/>
      <c r="M33" s="10"/>
      <c r="N33" s="10"/>
      <c r="O33" s="10"/>
      <c r="P33" s="10"/>
      <c r="Q33" s="10"/>
      <c r="R33" s="10"/>
      <c r="S33" s="10"/>
      <c r="T33" s="10"/>
      <c r="U33" s="10"/>
      <c r="V33" s="10"/>
      <c r="W33" s="10"/>
      <c r="X33" s="10"/>
      <c r="Y33" s="10"/>
      <c r="Z33" s="10"/>
    </row>
    <row r="34" spans="1:26" ht="37.5" x14ac:dyDescent="0.3">
      <c r="B34" s="53" t="s">
        <v>3275</v>
      </c>
      <c r="C34" s="7" t="e">
        <f>C33/$C$23</f>
        <v>#DIV/0!</v>
      </c>
      <c r="D34" s="7" t="e">
        <f t="shared" ref="D34:G34" si="5">D33/$C$23</f>
        <v>#DIV/0!</v>
      </c>
      <c r="E34" s="7" t="e">
        <f t="shared" si="5"/>
        <v>#DIV/0!</v>
      </c>
      <c r="F34" s="7" t="e">
        <f t="shared" si="5"/>
        <v>#DIV/0!</v>
      </c>
      <c r="G34" s="7" t="e">
        <f t="shared" si="5"/>
        <v>#DIV/0!</v>
      </c>
      <c r="H34" s="116" t="e">
        <f>SUM(C34:G34)</f>
        <v>#DIV/0!</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COUNTIF('MOBAYE_Cleaned Data'!ZZ:ZZ,"1")</f>
        <v>0</v>
      </c>
      <c r="D38" s="3">
        <f>COUNTIF('MOBAYE_Cleaned Data'!AAA:AAA,"1")</f>
        <v>0</v>
      </c>
      <c r="E38" s="3">
        <f>COUNTIF('MOBAYE_Cleaned Data'!AAB:AAB,"1")</f>
        <v>0</v>
      </c>
      <c r="F38" s="3">
        <f>COUNTIF('MOBAYE_Cleaned Data'!AAC:AAC,"1")</f>
        <v>0</v>
      </c>
      <c r="G38" s="3">
        <f>COUNTIF('MOBAYE_Cleaned Data'!AAD:AAD,"1")</f>
        <v>0</v>
      </c>
      <c r="H38" s="3">
        <f>COUNTIF('MOBAYE_Cleaned Data'!AAE:AAE,"1")</f>
        <v>0</v>
      </c>
      <c r="I38" s="3">
        <f>COUNTIF('MOBAYE_Cleaned Data'!AAF:AAF,"1")</f>
        <v>0</v>
      </c>
      <c r="J38" s="3">
        <f>COUNTIF('MOBAYE_Cleaned Data'!AAG:AAG,"1")</f>
        <v>0</v>
      </c>
    </row>
    <row r="39" spans="1:26" ht="49" x14ac:dyDescent="0.3">
      <c r="B39" s="53" t="s">
        <v>3276</v>
      </c>
      <c r="C39" s="7" t="e">
        <f>C38/$D$23</f>
        <v>#DIV/0!</v>
      </c>
      <c r="D39" s="7" t="e">
        <f t="shared" ref="D39:J39" si="6">D38/$D$23</f>
        <v>#DIV/0!</v>
      </c>
      <c r="E39" s="7" t="e">
        <f t="shared" si="6"/>
        <v>#DIV/0!</v>
      </c>
      <c r="F39" s="7" t="e">
        <f t="shared" si="6"/>
        <v>#DIV/0!</v>
      </c>
      <c r="G39" s="7" t="e">
        <f t="shared" si="6"/>
        <v>#DIV/0!</v>
      </c>
      <c r="H39" s="7" t="e">
        <f t="shared" si="6"/>
        <v>#DIV/0!</v>
      </c>
      <c r="I39" s="7" t="e">
        <f t="shared" si="6"/>
        <v>#DIV/0!</v>
      </c>
      <c r="J39" s="7" t="e">
        <f t="shared" si="6"/>
        <v>#DIV/0!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COUNTIF('MOBAYE_Cleaned Data'!AAI:AAI,"moins_six_mois")</f>
        <v>0</v>
      </c>
      <c r="D43" s="3">
        <f>COUNTIF('MOBAYE_Cleaned Data'!AAI:AAI,"six_mois_un_an ")</f>
        <v>0</v>
      </c>
      <c r="E43" s="3">
        <f>COUNTIF('MOBAYE_Cleaned Data'!AAI:AAI,"un_an_trois_ans")</f>
        <v>0</v>
      </c>
      <c r="F43" s="3">
        <f>COUNTIF('MOBAYE_Cleaned Data'!AAI:AAI,"plus_trois_ans")</f>
        <v>0</v>
      </c>
      <c r="G43" s="3">
        <f>COUNTIF('MOBAYE_Cleaned Data'!AAI:AAI,"nsp")</f>
        <v>0</v>
      </c>
      <c r="H43" s="111">
        <f>SUM(C43:G43)</f>
        <v>0</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t="e">
        <f>C43/$D$23</f>
        <v>#DIV/0!</v>
      </c>
      <c r="D44" s="7" t="e">
        <f t="shared" ref="D44:G44" si="7">D43/$D$23</f>
        <v>#DIV/0!</v>
      </c>
      <c r="E44" s="7" t="e">
        <f t="shared" si="7"/>
        <v>#DIV/0!</v>
      </c>
      <c r="F44" s="7" t="e">
        <f t="shared" si="7"/>
        <v>#DIV/0!</v>
      </c>
      <c r="G44" s="7" t="e">
        <f t="shared" si="7"/>
        <v>#DIV/0!</v>
      </c>
      <c r="H44" s="116" t="e">
        <f>SUM(C44:G44)</f>
        <v>#DIV/0!</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COUNTIF('MOBAYE_Cleaned Data'!AAW:AAW,"1")</f>
        <v>0</v>
      </c>
      <c r="C48" s="4">
        <f>COUNTIF('MOBAYE_Cleaned Data'!AAX:AAX,"1")</f>
        <v>0</v>
      </c>
      <c r="D48" s="4">
        <f>COUNTIF('MOBAYE_Cleaned Data'!AAY:AAY,"1")</f>
        <v>0</v>
      </c>
      <c r="E48" s="4">
        <f>COUNTIF('MOBAYE_Cleaned Data'!AAZ:AAZ,"1")</f>
        <v>0</v>
      </c>
      <c r="F48" s="4">
        <f>COUNTIF('MOBAYE_Cleaned Data'!ABA:ABA,"1")</f>
        <v>0</v>
      </c>
      <c r="G48" s="4">
        <f>COUNTIF('MOBAYE_Cleaned Data'!ABB:ABB,"1")</f>
        <v>0</v>
      </c>
      <c r="H48" s="4">
        <f>COUNTIF('MOBAYE_Cleaned Data'!ABC:ABC,"1")</f>
        <v>0</v>
      </c>
      <c r="I48" s="87" t="s">
        <v>2309</v>
      </c>
      <c r="J48" s="87"/>
    </row>
    <row r="49" spans="1:12" ht="40" customHeight="1" x14ac:dyDescent="0.3">
      <c r="A49" s="54" t="s">
        <v>1956</v>
      </c>
      <c r="B49" s="7" t="e">
        <f>B48/SUM(C28,C38)</f>
        <v>#DIV/0!</v>
      </c>
      <c r="C49" s="7" t="e">
        <f>C48/SUM(C28,C38)</f>
        <v>#DIV/0!</v>
      </c>
      <c r="D49" s="7" t="e">
        <f>D48/SUM(C28,C38)</f>
        <v>#DIV/0!</v>
      </c>
      <c r="E49" s="7" t="e">
        <f>E48/SUM(C28,C38)</f>
        <v>#DIV/0!</v>
      </c>
      <c r="F49" s="7" t="e">
        <f>F48/SUM(C28,C38)</f>
        <v>#DIV/0!</v>
      </c>
      <c r="G49" s="7" t="e">
        <f>G48/SUM(C28,C38)</f>
        <v>#DIV/0!</v>
      </c>
      <c r="H49" s="7" t="e">
        <f>H48/SUM(C28,C38)</f>
        <v>#DIV/0!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COUNTIF('MOBAYE_Cleaned Data'!ABM:ABM,"1")</f>
        <v>1</v>
      </c>
      <c r="C53" s="4">
        <f>COUNTIF('MOBAYE_Cleaned Data'!ABN:ABN,"1")</f>
        <v>0</v>
      </c>
      <c r="D53" s="4">
        <f>COUNTIF('MOBAYE_Cleaned Data'!ABO:ABO,"1")</f>
        <v>0</v>
      </c>
      <c r="E53" s="4">
        <f>COUNTIF('MOBAYE_Cleaned Data'!ABP:ABP,"1")</f>
        <v>0</v>
      </c>
      <c r="F53" s="4">
        <f>COUNTIF('MOBAYE_Cleaned Data'!ABQ:ABQ,"1")</f>
        <v>0</v>
      </c>
      <c r="G53" s="4">
        <f>COUNTIF('MOBAYE_Cleaned Data'!ABR:ABR,"1")</f>
        <v>0</v>
      </c>
      <c r="H53" s="4">
        <f>COUNTIF('MOBAYE_Cleaned Data'!ABX:ABX,"1")</f>
        <v>2</v>
      </c>
      <c r="I53" s="4">
        <f>COUNTIF('MOBAYE_Cleaned Data'!ABT:ABT,"1")</f>
        <v>0</v>
      </c>
      <c r="J53" s="4">
        <f>COUNTIF('MOBAYE_Cleaned Data'!ABU:ABU,"1")</f>
        <v>0</v>
      </c>
      <c r="K53" s="4">
        <f>COUNTIF('MOBAYE_Cleaned Data'!ABV:ABV,"1")</f>
        <v>0</v>
      </c>
      <c r="L53" s="4">
        <f>COUNTIF('MOBAYE_Cleaned Data'!ABW:ABW,"1")</f>
        <v>0</v>
      </c>
    </row>
    <row r="54" spans="1:12" ht="26" x14ac:dyDescent="0.3">
      <c r="A54" s="53" t="s">
        <v>3273</v>
      </c>
      <c r="B54" s="7">
        <f>B53/$B$3</f>
        <v>0.33333333333333331</v>
      </c>
      <c r="C54" s="7">
        <f t="shared" ref="C54:L54" si="8">C53/$B$3</f>
        <v>0</v>
      </c>
      <c r="D54" s="7">
        <f t="shared" si="8"/>
        <v>0</v>
      </c>
      <c r="E54" s="7">
        <f t="shared" si="8"/>
        <v>0</v>
      </c>
      <c r="F54" s="7">
        <f t="shared" si="8"/>
        <v>0</v>
      </c>
      <c r="G54" s="7">
        <f t="shared" si="8"/>
        <v>0</v>
      </c>
      <c r="H54" s="7">
        <f t="shared" si="8"/>
        <v>0.66666666666666663</v>
      </c>
      <c r="I54" s="7">
        <f t="shared" si="8"/>
        <v>0</v>
      </c>
      <c r="J54" s="7">
        <f t="shared" si="8"/>
        <v>0</v>
      </c>
      <c r="K54" s="7">
        <f t="shared" si="8"/>
        <v>0</v>
      </c>
      <c r="L54" s="7">
        <f t="shared" si="8"/>
        <v>0</v>
      </c>
    </row>
    <row r="55" spans="1:12" x14ac:dyDescent="0.3">
      <c r="A55" s="65"/>
      <c r="J55" s="74"/>
    </row>
    <row r="56" spans="1:12" x14ac:dyDescent="0.3">
      <c r="A56" s="18" t="s">
        <v>1286</v>
      </c>
    </row>
    <row r="57" spans="1:12" x14ac:dyDescent="0.3">
      <c r="A57" s="3"/>
      <c r="B57" s="8" t="s">
        <v>1210</v>
      </c>
      <c r="C57" s="8" t="s">
        <v>1209</v>
      </c>
      <c r="D57" s="114" t="s">
        <v>1206</v>
      </c>
    </row>
    <row r="58" spans="1:12" x14ac:dyDescent="0.3">
      <c r="A58" s="3" t="s">
        <v>1207</v>
      </c>
      <c r="B58" s="4">
        <f>COUNTIF('MOBAYE_Cleaned Data'!ACA:ACA,"Oui")</f>
        <v>2</v>
      </c>
      <c r="C58" s="4">
        <f>COUNTIF('MOBAYE_Cleaned Data'!ACA:ACA,"non")</f>
        <v>1</v>
      </c>
      <c r="D58" s="111">
        <f>SUM(B58:C58)</f>
        <v>3</v>
      </c>
    </row>
    <row r="59" spans="1:12" ht="26" x14ac:dyDescent="0.3">
      <c r="A59" s="53" t="s">
        <v>3273</v>
      </c>
      <c r="B59" s="7">
        <f>B58/$B$3</f>
        <v>0.66666666666666663</v>
      </c>
      <c r="C59" s="7">
        <f>C58/$B$3</f>
        <v>0.33333333333333331</v>
      </c>
      <c r="D59" s="116">
        <f>SUM(B59:C59)</f>
        <v>1</v>
      </c>
    </row>
    <row r="61" spans="1:12" x14ac:dyDescent="0.3">
      <c r="B61" s="18" t="s">
        <v>1287</v>
      </c>
    </row>
    <row r="62" spans="1:12" x14ac:dyDescent="0.3">
      <c r="B62" s="21">
        <f>AVERAGE('MOBAYE_Cleaned Data'!ACB:ACB)</f>
        <v>3.5</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COUNTIF('MOBAYE_Cleaned Data'!ACC:ACC,"Oui")</f>
        <v>1</v>
      </c>
      <c r="D66" s="4">
        <f>COUNTIF('MOBAYE_Cleaned Data'!ACC:ACC,"non")</f>
        <v>1</v>
      </c>
      <c r="E66" s="111">
        <f>SUM(C66:D66)</f>
        <v>2</v>
      </c>
    </row>
    <row r="67" spans="1:5" ht="49" x14ac:dyDescent="0.3">
      <c r="B67" s="53" t="s">
        <v>3278</v>
      </c>
      <c r="C67" s="7">
        <f>C66/$B$58</f>
        <v>0.5</v>
      </c>
      <c r="D67" s="7">
        <f>D66/$B$58</f>
        <v>0.5</v>
      </c>
      <c r="E67" s="116">
        <f>SUM(C67:D67)</f>
        <v>1</v>
      </c>
    </row>
    <row r="68" spans="1:5" x14ac:dyDescent="0.3">
      <c r="B68" s="14"/>
      <c r="C68" s="15"/>
      <c r="D68" s="15"/>
    </row>
    <row r="69" spans="1:5" x14ac:dyDescent="0.3">
      <c r="C69" s="18" t="s">
        <v>1289</v>
      </c>
    </row>
    <row r="70" spans="1:5" x14ac:dyDescent="0.3">
      <c r="C70" s="21">
        <f>AVERAGE('MOBAYE_Cleaned Data'!ACD:ACD)</f>
        <v>3</v>
      </c>
    </row>
    <row r="71" spans="1:5" x14ac:dyDescent="0.3">
      <c r="C71" s="18" t="s">
        <v>1290</v>
      </c>
    </row>
    <row r="72" spans="1:5" x14ac:dyDescent="0.3">
      <c r="C72" s="21">
        <f>AVERAGE('MOBAYE_Cleaned Data'!ACF:ACF)</f>
        <v>3</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COUNTIF('MOBAYE_Cleaned Data'!ACI:ACI,"Oui")</f>
        <v>0</v>
      </c>
      <c r="D76" s="4">
        <f>COUNTIF('MOBAYE_Cleaned Data'!ACI:ACI,"non")</f>
        <v>2</v>
      </c>
      <c r="E76" s="111">
        <f>SUM(C76:D76)</f>
        <v>2</v>
      </c>
    </row>
    <row r="77" spans="1:5" ht="49" x14ac:dyDescent="0.3">
      <c r="B77" s="53" t="s">
        <v>3278</v>
      </c>
      <c r="C77" s="7">
        <f>C76/$B$58</f>
        <v>0</v>
      </c>
      <c r="D77" s="7">
        <f>D76/$B$58</f>
        <v>1</v>
      </c>
      <c r="E77" s="116">
        <f>SUM(C77:D77)</f>
        <v>1</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COUNTIF('MOBAYE_Cleaned Data'!ACJ:ACJ,"Oui")</f>
        <v>2</v>
      </c>
      <c r="C81" s="4">
        <f>COUNTIF('MOBAYE_Cleaned Data'!ACJ:ACJ,"non")</f>
        <v>1</v>
      </c>
      <c r="D81" s="111">
        <f>SUM(B81:C81)</f>
        <v>3</v>
      </c>
    </row>
    <row r="82" spans="1:12" ht="26" x14ac:dyDescent="0.3">
      <c r="A82" s="53" t="s">
        <v>3273</v>
      </c>
      <c r="B82" s="7">
        <f>B81/$B$3</f>
        <v>0.66666666666666663</v>
      </c>
      <c r="C82" s="7">
        <f>C81/$B$3</f>
        <v>0.33333333333333331</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COUNTIF('MOBAYE_Cleaned Data'!ACK:ACK,"fontaine")</f>
        <v>0</v>
      </c>
      <c r="D86" s="4">
        <f>COUNTIF('MOBAYE_Cleaned Data'!ACK:ACK,"pompe_main")</f>
        <v>2</v>
      </c>
      <c r="E86" s="4">
        <f>COUNTIF('MOBAYE_Cleaned Data'!ACK:ACK,"pompe_pied")</f>
        <v>0</v>
      </c>
      <c r="F86" s="4">
        <f>COUNTIF('MOBAYE_Cleaned Data'!ACK:ACK,"puits_protege")</f>
        <v>0</v>
      </c>
      <c r="G86" s="4">
        <f>COUNTIF('MOBAYE_Cleaned Data'!ACK:ACK,"puits_non_protege")</f>
        <v>0</v>
      </c>
      <c r="H86" s="4">
        <f>COUNTIF('MOBAYE_Cleaned Data'!ACK:ACK,"source_amenagee")</f>
        <v>0</v>
      </c>
      <c r="I86" s="4">
        <f>COUNTIF('MOBAYE_Cleaned Data'!ACK:ACK,"source_non_amenagee")</f>
        <v>0</v>
      </c>
      <c r="J86" s="4">
        <f>COUNTIF('MOBAYE_Cleaned Data'!ACK:ACK,"camion")</f>
        <v>0</v>
      </c>
      <c r="K86" s="4">
        <f>COUNTIF('MOBAYE_Cleaned Data'!ACK:ACK,"autre")</f>
        <v>0</v>
      </c>
      <c r="L86" s="111">
        <f>SUM(C86:K86)</f>
        <v>2</v>
      </c>
    </row>
    <row r="87" spans="1:12" ht="49" x14ac:dyDescent="0.3">
      <c r="A87" s="14"/>
      <c r="B87" s="53" t="s">
        <v>3279</v>
      </c>
      <c r="C87" s="7">
        <f>C86/$B$81</f>
        <v>0</v>
      </c>
      <c r="D87" s="7">
        <f t="shared" ref="D87:K87" si="9">D86/$B$81</f>
        <v>1</v>
      </c>
      <c r="E87" s="7">
        <f t="shared" si="9"/>
        <v>0</v>
      </c>
      <c r="F87" s="7">
        <f t="shared" si="9"/>
        <v>0</v>
      </c>
      <c r="G87" s="7">
        <f t="shared" si="9"/>
        <v>0</v>
      </c>
      <c r="H87" s="7">
        <f t="shared" si="9"/>
        <v>0</v>
      </c>
      <c r="I87" s="7">
        <f t="shared" si="9"/>
        <v>0</v>
      </c>
      <c r="J87" s="7">
        <f t="shared" si="9"/>
        <v>0</v>
      </c>
      <c r="K87" s="7">
        <f t="shared" si="9"/>
        <v>0</v>
      </c>
      <c r="L87" s="116">
        <f>SUM(C87:K87)</f>
        <v>1</v>
      </c>
    </row>
    <row r="89" spans="1:12" x14ac:dyDescent="0.3">
      <c r="A89" s="21" t="s">
        <v>1302</v>
      </c>
    </row>
    <row r="90" spans="1:12" ht="15.5" x14ac:dyDescent="0.35">
      <c r="A90" s="67" t="s">
        <v>1964</v>
      </c>
      <c r="E90" s="29" t="s">
        <v>1963</v>
      </c>
    </row>
    <row r="91" spans="1:12" x14ac:dyDescent="0.3">
      <c r="A91" s="66">
        <f>AVERAGE('MOBAYE_Cleaned Data'!ABZ:ABZ)</f>
        <v>7</v>
      </c>
      <c r="E91" s="19">
        <f>AVERAGE('MOBAYE_Cleaned Data'!ACN:ACN)</f>
        <v>505</v>
      </c>
    </row>
    <row r="92" spans="1:12" x14ac:dyDescent="0.3">
      <c r="A92" s="66"/>
    </row>
    <row r="93" spans="1:12" x14ac:dyDescent="0.3">
      <c r="A93" s="66"/>
      <c r="D93" s="70">
        <f>E91/A91</f>
        <v>72.142857142857139</v>
      </c>
      <c r="E93" s="68" t="s">
        <v>1965</v>
      </c>
    </row>
    <row r="94" spans="1:12" x14ac:dyDescent="0.3">
      <c r="A94" s="66"/>
    </row>
    <row r="95" spans="1:12" ht="15.5" x14ac:dyDescent="0.35">
      <c r="A95" s="18" t="s">
        <v>1967</v>
      </c>
      <c r="E95" s="29" t="s">
        <v>1966</v>
      </c>
    </row>
    <row r="96" spans="1:12" x14ac:dyDescent="0.3">
      <c r="A96" s="69">
        <f>AVERAGEIF('MOBAYE_Cleaned Data'!ZT:ZT,"public", 'MOBAYE_Cleaned Data'!ABZ:ABZ)</f>
        <v>8</v>
      </c>
      <c r="E96" s="19">
        <f>AVERAGEIF('MOBAYE_Cleaned Data'!ZT:ZT,"public",'MOBAYE_Cleaned Data'!ACN:ACN)</f>
        <v>625</v>
      </c>
    </row>
    <row r="98" spans="1:7" x14ac:dyDescent="0.3">
      <c r="D98" s="70">
        <f>E96/A96</f>
        <v>78.125</v>
      </c>
      <c r="E98" s="68" t="s">
        <v>1965</v>
      </c>
    </row>
    <row r="100" spans="1:7" ht="15.5" x14ac:dyDescent="0.35">
      <c r="A100" s="18" t="s">
        <v>1969</v>
      </c>
      <c r="E100" s="18"/>
    </row>
    <row r="101" spans="1:7" x14ac:dyDescent="0.3">
      <c r="A101" s="93">
        <f>AVERAGE('MOBAYE_Cleaned Data'!ACO:ACO)</f>
        <v>195.66666666666666</v>
      </c>
      <c r="E101" s="18"/>
    </row>
    <row r="102" spans="1:7" ht="15.5" x14ac:dyDescent="0.35">
      <c r="A102" s="29" t="s">
        <v>1968</v>
      </c>
      <c r="E102" s="18"/>
    </row>
    <row r="103" spans="1:7" x14ac:dyDescent="0.3">
      <c r="A103" s="93">
        <f>AVERAGE('MOBAYE_Cleaned Data'!ACQ:ACQ)</f>
        <v>306</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COUNTIF('MOBAYE_Cleaned Data'!ACV:ACV,"Oui")</f>
        <v>1</v>
      </c>
      <c r="C107" s="4">
        <f>COUNTIF('MOBAYE_Cleaned Data'!ACV:ACV,"non")</f>
        <v>2</v>
      </c>
      <c r="D107" s="4">
        <f>COUNTIF('MOBAYE_Cleaned Data'!ACV:ACV,"nsp")</f>
        <v>0</v>
      </c>
      <c r="E107" s="111">
        <f>SUM(B107:D107)</f>
        <v>3</v>
      </c>
    </row>
    <row r="108" spans="1:7" ht="37.5" x14ac:dyDescent="0.3">
      <c r="A108" s="53" t="s">
        <v>3280</v>
      </c>
      <c r="B108" s="7">
        <f>B107/$E$23</f>
        <v>0.33333333333333331</v>
      </c>
      <c r="C108" s="7">
        <f>C107/$E$23</f>
        <v>0.66666666666666663</v>
      </c>
      <c r="D108" s="7">
        <f>D107/$E$23</f>
        <v>0</v>
      </c>
      <c r="E108" s="116">
        <f>SUM(B108:D108)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COUNTIF('MOBAYE_Cleaned Data'!ACW:ACW,"peu_diminue")</f>
        <v>0</v>
      </c>
      <c r="D112" s="24">
        <f>COUNTIF('MOBAYE_Cleaned Data'!ACW:ACW,"bcp_diminue")</f>
        <v>0</v>
      </c>
      <c r="E112" s="24">
        <f>COUNTIF('MOBAYE_Cleaned Data'!ACW:ACW,"peu_augmente")</f>
        <v>0</v>
      </c>
      <c r="F112" s="24">
        <f>COUNTIF('MOBAYE_Cleaned Data'!ACW:ACW,"bcp_augmente")</f>
        <v>1</v>
      </c>
      <c r="G112" s="111">
        <f>SUM(C112:F112)</f>
        <v>1</v>
      </c>
    </row>
    <row r="113" spans="1:10" ht="49" x14ac:dyDescent="0.3">
      <c r="B113" s="53" t="s">
        <v>3281</v>
      </c>
      <c r="C113" s="7">
        <f>C112/$B$107</f>
        <v>0</v>
      </c>
      <c r="D113" s="7">
        <f t="shared" ref="D113:F113" si="10">D112/$B$107</f>
        <v>0</v>
      </c>
      <c r="E113" s="7">
        <f t="shared" si="10"/>
        <v>0</v>
      </c>
      <c r="F113" s="7">
        <f t="shared" si="10"/>
        <v>1</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COUNTIF('MOBAYE_Cleaned Data'!ACY:ACY,"1")</f>
        <v>0</v>
      </c>
      <c r="D117" s="24">
        <f>COUNTIF('MOBAYE_Cleaned Data'!ACZ:ACZ,"1")</f>
        <v>0</v>
      </c>
      <c r="E117" s="24">
        <f>COUNTIF('MOBAYE_Cleaned Data'!ADA:ADA,"1")</f>
        <v>0</v>
      </c>
      <c r="F117" s="24">
        <f>COUNTIF('MOBAYE_Cleaned Data'!ADB:ADB,"1")</f>
        <v>0</v>
      </c>
      <c r="G117" s="24">
        <f>COUNTIF('MOBAYE_Cleaned Data'!ADE:ADE,"1")</f>
        <v>0</v>
      </c>
      <c r="H117" s="24">
        <f>COUNTIF('MOBAYE_Cleaned Data'!ADC:ADC,"1")</f>
        <v>0</v>
      </c>
      <c r="I117" s="24">
        <f>COUNTIF('MOBAYE_Cleaned Data'!ADD:ADD,"1")</f>
        <v>1</v>
      </c>
    </row>
    <row r="118" spans="1:10" ht="49" x14ac:dyDescent="0.3">
      <c r="B118" s="53" t="s">
        <v>3282</v>
      </c>
      <c r="C118" s="7">
        <f>C117/SUM(E112,F112)</f>
        <v>0</v>
      </c>
      <c r="D118" s="7">
        <f>D117/SUM(E112,F112)</f>
        <v>0</v>
      </c>
      <c r="E118" s="7">
        <f>E117/SUM(E112,F112)</f>
        <v>0</v>
      </c>
      <c r="F118" s="7">
        <f>F117/SUM(E112,F112)</f>
        <v>0</v>
      </c>
      <c r="G118" s="7">
        <f>G117/SUM(E112,F112)</f>
        <v>0</v>
      </c>
      <c r="H118" s="7">
        <f>H117/SUM(E112,F112)</f>
        <v>0</v>
      </c>
      <c r="I118" s="7">
        <f>I117/SUM(F112,G112)</f>
        <v>0.5</v>
      </c>
    </row>
    <row r="119" spans="1:10" x14ac:dyDescent="0.3">
      <c r="B119" s="50"/>
      <c r="I119" s="74" t="s">
        <v>3394</v>
      </c>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COUNTIF('MOBAYE_Cleaned Data'!ADH:ADH,"1")</f>
        <v>0</v>
      </c>
      <c r="D122" s="24">
        <f>COUNTIF('MOBAYE_Cleaned Data'!ADI:ADI,"1")</f>
        <v>0</v>
      </c>
      <c r="E122" s="24">
        <f>COUNTIF('MOBAYE_Cleaned Data'!ADJ:ADJ,"1")</f>
        <v>0</v>
      </c>
      <c r="F122" s="24">
        <f>COUNTIF('MOBAYE_Cleaned Data'!ADK:ADK,"1")</f>
        <v>0</v>
      </c>
      <c r="G122" s="24">
        <f>COUNTIF('MOBAYE_Cleaned Data'!ADL:ADL,"1")</f>
        <v>0</v>
      </c>
      <c r="H122" s="24">
        <f>COUNTIF('MOBAYE_Cleaned Data'!ADO:ADO,"1")</f>
        <v>0</v>
      </c>
      <c r="I122" s="24">
        <f>COUNTIF('MOBAYE_Cleaned Data'!ADM:ADM,"1")</f>
        <v>0</v>
      </c>
      <c r="J122" s="24">
        <f>COUNTIF('MOBAYE_Cleaned Data'!ADN:ADN,"1")</f>
        <v>0</v>
      </c>
    </row>
    <row r="123" spans="1:10" ht="49" x14ac:dyDescent="0.3">
      <c r="B123" s="53" t="s">
        <v>3283</v>
      </c>
      <c r="C123" s="7" t="e">
        <f>C122/SUM(C112,D112)</f>
        <v>#DIV/0!</v>
      </c>
      <c r="D123" s="7" t="e">
        <f>D122/SUM(C112,D112)</f>
        <v>#DIV/0!</v>
      </c>
      <c r="E123" s="7" t="e">
        <f>E122/SUM(C112,D112)</f>
        <v>#DIV/0!</v>
      </c>
      <c r="F123" s="7" t="e">
        <f>F122/SUM(C112,D112)</f>
        <v>#DIV/0!</v>
      </c>
      <c r="G123" s="7" t="e">
        <f>G122/SUM(C112,D112)</f>
        <v>#DIV/0!</v>
      </c>
      <c r="H123" s="7" t="e">
        <f>H122/SUM(C112,D112)</f>
        <v>#DIV/0!</v>
      </c>
      <c r="I123" s="7" t="e">
        <f>I122/SUM(C112,D112)</f>
        <v>#DIV/0!</v>
      </c>
      <c r="J123" s="7" t="e">
        <f>J122/SUM(C112,D112)</f>
        <v>#DIV/0!</v>
      </c>
    </row>
    <row r="125" spans="1:10" x14ac:dyDescent="0.3">
      <c r="A125" s="18" t="s">
        <v>1323</v>
      </c>
    </row>
    <row r="126" spans="1:10" x14ac:dyDescent="0.3">
      <c r="A126" s="28">
        <f>AVERAGE('MOBAYE_Cleaned Data'!ADQ:ADQ)</f>
        <v>3.6666666666666665</v>
      </c>
    </row>
    <row r="127" spans="1:10" x14ac:dyDescent="0.3">
      <c r="A127" s="28"/>
    </row>
    <row r="128" spans="1:10" x14ac:dyDescent="0.3">
      <c r="A128" s="18" t="s">
        <v>1319</v>
      </c>
    </row>
    <row r="129" spans="1:5" x14ac:dyDescent="0.3">
      <c r="A129" s="28">
        <f>AVERAGE('MOBAYE_Cleaned Data'!AEO:AEO)</f>
        <v>0</v>
      </c>
    </row>
    <row r="130" spans="1:5" x14ac:dyDescent="0.3">
      <c r="A130" s="27"/>
    </row>
    <row r="131" spans="1:5" x14ac:dyDescent="0.3">
      <c r="A131" s="18" t="s">
        <v>1320</v>
      </c>
    </row>
    <row r="132" spans="1:5" x14ac:dyDescent="0.3">
      <c r="A132" s="19">
        <f>AVERAGE('MOBAYE_Cleaned Data'!AFL:AFL)</f>
        <v>5.333333333333333</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COUNTIF('MOBAYE_Cleaned Data'!AGH:AGH,"Oui")</f>
        <v>2</v>
      </c>
      <c r="C136" s="24">
        <f>COUNTIF('MOBAYE_Cleaned Data'!AGH:AGH,"oui_rc")</f>
        <v>0</v>
      </c>
      <c r="D136" s="24">
        <f>COUNTIF('MOBAYE_Cleaned Data'!AGH:AGH,"non_rc")</f>
        <v>1</v>
      </c>
      <c r="E136" s="111">
        <f>SUM(B136:D136)</f>
        <v>3</v>
      </c>
    </row>
    <row r="137" spans="1:5" ht="37.5" x14ac:dyDescent="0.3">
      <c r="A137" s="53" t="s">
        <v>1974</v>
      </c>
      <c r="B137" s="7">
        <f>B136/$E$23</f>
        <v>0.66666666666666663</v>
      </c>
      <c r="C137" s="7">
        <f t="shared" ref="C137:D137" si="11">C136/$E$23</f>
        <v>0</v>
      </c>
      <c r="D137" s="7">
        <f t="shared" si="11"/>
        <v>0.33333333333333331</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COUNTIF('MOBAYE_Cleaned Data'!AGI:AGI,"Oui")</f>
        <v>0</v>
      </c>
      <c r="C141" s="24">
        <f>COUNTIF('MOBAYE_Cleaned Data'!AGI:AGI,"oui_rc")</f>
        <v>3</v>
      </c>
      <c r="D141" s="24">
        <f>COUNTIF('MOBAYE_Cleaned Data'!AGI:AGI,"non_rc")</f>
        <v>0</v>
      </c>
      <c r="E141" s="111">
        <f>SUM(B141:D141)</f>
        <v>3</v>
      </c>
    </row>
    <row r="142" spans="1:5" ht="37.5" x14ac:dyDescent="0.3">
      <c r="A142" s="53" t="s">
        <v>3284</v>
      </c>
      <c r="B142" s="7">
        <f>B141/$E$23</f>
        <v>0</v>
      </c>
      <c r="C142" s="7">
        <f t="shared" ref="C142:D142" si="12">C141/$E$23</f>
        <v>1</v>
      </c>
      <c r="D142" s="7">
        <f t="shared" si="12"/>
        <v>0</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COUNTIF('MOBAYE_Cleaned Data'!ACM:ACM,"Oui")</f>
        <v>0</v>
      </c>
      <c r="C148" s="24">
        <f>COUNTIF('MOBAYE_Cleaned Data'!ACM:ACM,"non")</f>
        <v>2</v>
      </c>
      <c r="D148" s="24">
        <f>COUNTIF('MOBAYE_Cleaned Data'!ACM:ACM,"difficilement")</f>
        <v>1</v>
      </c>
      <c r="E148" s="111">
        <f>SUM(B148:D148)</f>
        <v>3</v>
      </c>
    </row>
    <row r="149" spans="1:8" s="36" customFormat="1" ht="39" customHeight="1" x14ac:dyDescent="0.3">
      <c r="A149" s="53" t="s">
        <v>3284</v>
      </c>
      <c r="B149" s="55">
        <f>B148/$E$23</f>
        <v>0</v>
      </c>
      <c r="C149" s="55">
        <f>C148/$E$23</f>
        <v>0.66666666666666663</v>
      </c>
      <c r="D149" s="55">
        <f>D148/$E$23</f>
        <v>0.33333333333333331</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COUNTIF('MOBAYE_Cleaned Data'!AGJ:AGJ,"Oui")</f>
        <v>3</v>
      </c>
      <c r="C153" s="24">
        <f>COUNTIF('MOBAYE_Cleaned Data'!AGJ:AGJ,"non")</f>
        <v>0</v>
      </c>
      <c r="D153" s="111">
        <f>SUM(B153:C153)</f>
        <v>3</v>
      </c>
    </row>
    <row r="154" spans="1:8" s="36" customFormat="1" ht="37.5" x14ac:dyDescent="0.3">
      <c r="A154" s="53" t="s">
        <v>3284</v>
      </c>
      <c r="B154" s="55">
        <f>B153/$E$23</f>
        <v>1</v>
      </c>
      <c r="C154" s="55">
        <f>C153/$E$23</f>
        <v>0</v>
      </c>
      <c r="D154" s="7">
        <f>SUM(B154:C154)</f>
        <v>1</v>
      </c>
    </row>
    <row r="155" spans="1:8" x14ac:dyDescent="0.3">
      <c r="A155" s="14"/>
      <c r="B155" s="15"/>
      <c r="C155" s="15"/>
    </row>
    <row r="156" spans="1:8" x14ac:dyDescent="0.3">
      <c r="A156" s="34" t="s">
        <v>2838</v>
      </c>
      <c r="B156" s="15"/>
      <c r="C156" s="15"/>
      <c r="E156" s="18" t="s">
        <v>1977</v>
      </c>
    </row>
    <row r="157" spans="1:8" x14ac:dyDescent="0.3">
      <c r="A157" s="32">
        <f>AVERAGE('MOBAYE_Cleaned Data'!AGK5,'MOBAYE_Cleaned Data'!AGK13)</f>
        <v>875</v>
      </c>
      <c r="B157" s="33" t="s">
        <v>1325</v>
      </c>
      <c r="C157" s="87"/>
      <c r="E157" s="3"/>
      <c r="F157" s="11" t="s">
        <v>1210</v>
      </c>
      <c r="G157" s="11" t="s">
        <v>1209</v>
      </c>
      <c r="H157" s="114" t="s">
        <v>1206</v>
      </c>
    </row>
    <row r="158" spans="1:8" x14ac:dyDescent="0.3">
      <c r="A158" s="32"/>
      <c r="B158" s="33"/>
      <c r="C158" s="15"/>
      <c r="E158" s="3" t="s">
        <v>1207</v>
      </c>
      <c r="F158" s="24">
        <f>COUNTIF('MOBAYE_Cleaned Data'!AGT:AGT,"Oui")</f>
        <v>1</v>
      </c>
      <c r="G158" s="24">
        <f>COUNTIF('MOBAYE_Cleaned Data'!AGT:AGT,"non")</f>
        <v>2</v>
      </c>
      <c r="H158" s="111">
        <f>SUM(F158:G158)</f>
        <v>3</v>
      </c>
    </row>
    <row r="159" spans="1:8" ht="26" x14ac:dyDescent="0.3">
      <c r="A159" s="34" t="s">
        <v>2839</v>
      </c>
      <c r="B159" s="33"/>
      <c r="C159" s="15"/>
      <c r="E159" s="53" t="s">
        <v>3285</v>
      </c>
      <c r="F159" s="7">
        <f>F158/$B$153</f>
        <v>0.33333333333333331</v>
      </c>
      <c r="G159" s="7">
        <f>G158/$B$153</f>
        <v>0.66666666666666663</v>
      </c>
      <c r="H159" s="7">
        <f>SUM(F159:G159)</f>
        <v>1</v>
      </c>
    </row>
    <row r="160" spans="1:8" x14ac:dyDescent="0.3">
      <c r="A160" s="134">
        <f>AVERAGE('MOBAYE_Cleaned Data'!AGK17)</f>
        <v>1000</v>
      </c>
      <c r="B160" s="33" t="s">
        <v>1325</v>
      </c>
      <c r="C160" s="133" t="s">
        <v>3342</v>
      </c>
    </row>
    <row r="161" spans="1:13" x14ac:dyDescent="0.3">
      <c r="A161" s="32"/>
      <c r="B161" s="33"/>
      <c r="C161" s="15"/>
    </row>
    <row r="162" spans="1:13" x14ac:dyDescent="0.3">
      <c r="A162" s="17" t="s">
        <v>1326</v>
      </c>
      <c r="B162" s="33"/>
      <c r="C162" s="103" t="s">
        <v>3245</v>
      </c>
    </row>
    <row r="163" spans="1:13" s="36" customFormat="1" ht="59.5" customHeight="1" x14ac:dyDescent="0.35">
      <c r="A163" s="8" t="s">
        <v>1327</v>
      </c>
      <c r="B163" s="8" t="s">
        <v>1328</v>
      </c>
      <c r="C163" s="8" t="s">
        <v>1329</v>
      </c>
      <c r="D163" s="8" t="s">
        <v>1330</v>
      </c>
      <c r="E163" s="8" t="s">
        <v>1905</v>
      </c>
      <c r="F163" s="8" t="s">
        <v>1205</v>
      </c>
    </row>
    <row r="164" spans="1:13" x14ac:dyDescent="0.3">
      <c r="A164" s="3">
        <f>COUNTIF('MOBAYE_Cleaned Data'!AGM:AGM,"1")</f>
        <v>1</v>
      </c>
      <c r="B164" s="3">
        <f>COUNTIF('MOBAYE_Cleaned Data'!AGN:AGN,"1")</f>
        <v>2</v>
      </c>
      <c r="C164" s="3">
        <f>COUNTIF('MOBAYE_Cleaned Data'!AGO:AGO,"1")</f>
        <v>0</v>
      </c>
      <c r="D164" s="3">
        <f>COUNTIF('MOBAYE_Cleaned Data'!AGP:AGP,"1")</f>
        <v>2</v>
      </c>
      <c r="E164" s="3">
        <f>COUNTIF('MOBAYE_Cleaned Data'!AGQ:AGQ,"1")</f>
        <v>0</v>
      </c>
      <c r="F164" s="3">
        <f>COUNTIF('MOBAYE_Cleaned Data'!AGR:AGR,"1")</f>
        <v>0</v>
      </c>
    </row>
    <row r="165" spans="1:13" x14ac:dyDescent="0.3">
      <c r="A165" s="14"/>
      <c r="B165" s="14"/>
      <c r="C165" s="14"/>
      <c r="D165" s="14"/>
      <c r="E165" s="14"/>
      <c r="F165" s="14"/>
    </row>
    <row r="166" spans="1:13" x14ac:dyDescent="0.3">
      <c r="A166" s="18" t="s">
        <v>1331</v>
      </c>
      <c r="C166" s="103" t="s">
        <v>3245</v>
      </c>
    </row>
    <row r="167" spans="1:13" x14ac:dyDescent="0.3">
      <c r="A167" s="3"/>
      <c r="B167" s="8" t="s">
        <v>1250</v>
      </c>
      <c r="C167" s="8" t="s">
        <v>1251</v>
      </c>
      <c r="D167" s="35" t="s">
        <v>1905</v>
      </c>
      <c r="E167" s="8" t="s">
        <v>1205</v>
      </c>
      <c r="F167" s="8" t="s">
        <v>1252</v>
      </c>
    </row>
    <row r="168" spans="1:13" x14ac:dyDescent="0.3">
      <c r="A168" s="3" t="s">
        <v>1207</v>
      </c>
      <c r="B168" s="3">
        <f>COUNTIF('MOBAYE_Cleaned Data'!AHR:AHR,"1")</f>
        <v>0</v>
      </c>
      <c r="C168" s="3">
        <f>COUNTIF('MOBAYE_Cleaned Data'!AHS:AHS,"1")</f>
        <v>2</v>
      </c>
      <c r="D168" s="3">
        <f>COUNTIF('MOBAYE_Cleaned Data'!AHT:AHT,"1")</f>
        <v>0</v>
      </c>
      <c r="E168" s="3">
        <f>COUNTIF('MOBAYE_Cleaned Data'!AHU:AHU,"1")</f>
        <v>0</v>
      </c>
      <c r="F168" s="3">
        <f>COUNTIF('MOBAYE_Cleaned Data'!AHV:AHV,"1")</f>
        <v>1</v>
      </c>
    </row>
    <row r="169" spans="1:13" s="36" customFormat="1" ht="37" x14ac:dyDescent="0.25">
      <c r="A169" s="53" t="s">
        <v>3284</v>
      </c>
      <c r="B169" s="55">
        <f>B168/$E$23</f>
        <v>0</v>
      </c>
      <c r="C169" s="55">
        <f t="shared" ref="C169:F169" si="13">C168/$E$23</f>
        <v>0.66666666666666663</v>
      </c>
      <c r="D169" s="55">
        <f t="shared" si="13"/>
        <v>0</v>
      </c>
      <c r="E169" s="55">
        <f t="shared" si="13"/>
        <v>0</v>
      </c>
      <c r="F169" s="55">
        <f t="shared" si="13"/>
        <v>0.33333333333333331</v>
      </c>
    </row>
    <row r="171" spans="1:13" ht="15.5" x14ac:dyDescent="0.35">
      <c r="A171" s="29" t="s">
        <v>1299</v>
      </c>
      <c r="C171" s="103" t="s">
        <v>3245</v>
      </c>
    </row>
    <row r="172" spans="1:13" ht="70" x14ac:dyDescent="0.3">
      <c r="A172" s="8" t="s">
        <v>1475</v>
      </c>
      <c r="B172" s="8" t="s">
        <v>1332</v>
      </c>
      <c r="C172" s="8" t="s">
        <v>1333</v>
      </c>
      <c r="D172" s="8" t="s">
        <v>1978</v>
      </c>
      <c r="E172" s="8" t="s">
        <v>1979</v>
      </c>
      <c r="F172" s="8" t="s">
        <v>1980</v>
      </c>
      <c r="G172" s="8" t="s">
        <v>1981</v>
      </c>
      <c r="H172" s="8" t="s">
        <v>1764</v>
      </c>
      <c r="I172" s="8" t="s">
        <v>1905</v>
      </c>
      <c r="J172" s="8" t="s">
        <v>1205</v>
      </c>
    </row>
    <row r="173" spans="1:13" x14ac:dyDescent="0.3">
      <c r="A173" s="3">
        <f>COUNTIF('MOBAYE_Cleaned Data'!AHY:AHY,"1")</f>
        <v>2</v>
      </c>
      <c r="B173" s="3">
        <f>COUNTIF('MOBAYE_Cleaned Data'!AHZ:AHZ,"1")</f>
        <v>2</v>
      </c>
      <c r="C173" s="3">
        <f>COUNTIF('MOBAYE_Cleaned Data'!AIA:AIA,"1")</f>
        <v>2</v>
      </c>
      <c r="D173" s="3">
        <f>COUNTIF('MOBAYE_Cleaned Data'!AIB:AIB,"1")</f>
        <v>2</v>
      </c>
      <c r="E173" s="3">
        <f>COUNTIF('MOBAYE_Cleaned Data'!AIC:AIC,"1")</f>
        <v>1</v>
      </c>
      <c r="F173" s="3">
        <f>COUNTIF('MOBAYE_Cleaned Data'!AID:AID,"1")</f>
        <v>2</v>
      </c>
      <c r="G173" s="3">
        <f>COUNTIF('MOBAYE_Cleaned Data'!AIE:AIE,"1")</f>
        <v>1</v>
      </c>
      <c r="H173" s="3">
        <f>COUNTIF('MOBAYE_Cleaned Data'!AIG:AIG,"1")</f>
        <v>0</v>
      </c>
      <c r="I173" s="3">
        <f>COUNTIF('MOBAYE_Cleaned Data'!AIH:AIH,"1")</f>
        <v>0</v>
      </c>
      <c r="J173" s="3">
        <f>COUNTIF('MOBAYE_Cleaned Data'!AII:AII,"1")</f>
        <v>0</v>
      </c>
    </row>
    <row r="174" spans="1:13" x14ac:dyDescent="0.3">
      <c r="J174" s="74"/>
    </row>
    <row r="175" spans="1:13" ht="15.5" x14ac:dyDescent="0.35">
      <c r="A175" s="29" t="s">
        <v>1300</v>
      </c>
      <c r="D175" s="103" t="s">
        <v>3245</v>
      </c>
    </row>
    <row r="176" spans="1:13" ht="42" x14ac:dyDescent="0.3">
      <c r="A176" s="8" t="s">
        <v>1912</v>
      </c>
      <c r="B176" s="8" t="s">
        <v>1982</v>
      </c>
      <c r="C176" s="8" t="s">
        <v>1913</v>
      </c>
      <c r="D176" s="8" t="s">
        <v>1914</v>
      </c>
      <c r="E176" s="8" t="s">
        <v>1915</v>
      </c>
      <c r="F176" s="8" t="s">
        <v>1916</v>
      </c>
      <c r="G176" s="8" t="s">
        <v>1917</v>
      </c>
      <c r="H176" s="8" t="s">
        <v>1918</v>
      </c>
      <c r="I176" s="8" t="s">
        <v>1919</v>
      </c>
      <c r="J176" s="8" t="s">
        <v>1920</v>
      </c>
      <c r="K176" s="8" t="s">
        <v>1252</v>
      </c>
      <c r="L176" s="8" t="s">
        <v>1905</v>
      </c>
      <c r="M176" s="8" t="s">
        <v>1205</v>
      </c>
    </row>
    <row r="177" spans="1:16" x14ac:dyDescent="0.3">
      <c r="A177" s="24">
        <f>COUNTIF('MOBAYE_Cleaned Data'!AIL:AIL,"1")</f>
        <v>0</v>
      </c>
      <c r="B177" s="24">
        <f>COUNTIF('MOBAYE_Cleaned Data'!AIM:AIM,"1")</f>
        <v>0</v>
      </c>
      <c r="C177" s="24">
        <f>COUNTIF('MOBAYE_Cleaned Data'!AIN:AIN,"1")</f>
        <v>1</v>
      </c>
      <c r="D177" s="24">
        <f>COUNTIF('MOBAYE_Cleaned Data'!AIO:AIO,"1")</f>
        <v>1</v>
      </c>
      <c r="E177" s="24">
        <f>COUNTIF('MOBAYE_Cleaned Data'!AIP:AIP,"1")</f>
        <v>0</v>
      </c>
      <c r="F177" s="24">
        <f>COUNTIF('MOBAYE_Cleaned Data'!AIQ:AIQ,"1")</f>
        <v>0</v>
      </c>
      <c r="G177" s="24">
        <f>COUNTIF('MOBAYE_Cleaned Data'!AIR:AIR,"1")</f>
        <v>0</v>
      </c>
      <c r="H177" s="24">
        <f>COUNTIF('MOBAYE_Cleaned Data'!AIS:AIS,"1")</f>
        <v>0</v>
      </c>
      <c r="I177" s="24">
        <f>COUNTIF('MOBAYE_Cleaned Data'!AIT:AIT,"1")</f>
        <v>0</v>
      </c>
      <c r="J177" s="24">
        <f>COUNTIF('MOBAYE_Cleaned Data'!AIX:AIX,"1")</f>
        <v>0</v>
      </c>
      <c r="K177" s="24">
        <f>COUNTIF('MOBAYE_Cleaned Data'!AIU:AIU,"1")</f>
        <v>1</v>
      </c>
      <c r="L177" s="24">
        <f>COUNTIF('MOBAYE_Cleaned Data'!AIV:AIV,"1")</f>
        <v>0</v>
      </c>
      <c r="M177" s="24">
        <f>COUNTIF('MOBAYE_Cleaned Data'!AIW:AIW,"1")</f>
        <v>0</v>
      </c>
    </row>
    <row r="179" spans="1:16" ht="15.5" x14ac:dyDescent="0.35">
      <c r="A179" s="29" t="s">
        <v>1334</v>
      </c>
    </row>
    <row r="180" spans="1:16" x14ac:dyDescent="0.3">
      <c r="A180" s="3"/>
      <c r="B180" s="8" t="s">
        <v>1210</v>
      </c>
      <c r="C180" s="8" t="s">
        <v>1209</v>
      </c>
      <c r="D180" s="114" t="s">
        <v>1206</v>
      </c>
    </row>
    <row r="181" spans="1:16" x14ac:dyDescent="0.3">
      <c r="A181" s="3" t="s">
        <v>1207</v>
      </c>
      <c r="B181" s="24">
        <f>COUNTIF('MOBAYE_Cleaned Data'!AIZ:AIZ,"OUI")</f>
        <v>2</v>
      </c>
      <c r="C181" s="24">
        <f>COUNTIF('MOBAYE_Cleaned Data'!AIZ:AIZ,"non")</f>
        <v>1</v>
      </c>
      <c r="D181" s="111">
        <f>SUM(B181:C181)</f>
        <v>3</v>
      </c>
    </row>
    <row r="182" spans="1:16" ht="26" x14ac:dyDescent="0.3">
      <c r="A182" s="53" t="s">
        <v>3273</v>
      </c>
      <c r="B182" s="7">
        <f>(B181/$B$3)</f>
        <v>0.66666666666666663</v>
      </c>
      <c r="C182" s="7">
        <f>(C181/$B$3)</f>
        <v>0.33333333333333331</v>
      </c>
      <c r="D182" s="7">
        <f>SUM(B182:C182)</f>
        <v>1</v>
      </c>
    </row>
    <row r="184" spans="1:16" x14ac:dyDescent="0.3">
      <c r="B184" s="18" t="s">
        <v>1262</v>
      </c>
      <c r="D184" s="103" t="s">
        <v>3245</v>
      </c>
    </row>
    <row r="185" spans="1:16" ht="14.5" x14ac:dyDescent="0.35">
      <c r="B185" s="3"/>
      <c r="C185" s="11" t="s">
        <v>1263</v>
      </c>
      <c r="D185" s="11" t="s">
        <v>1264</v>
      </c>
      <c r="E185" s="11" t="s">
        <v>1256</v>
      </c>
      <c r="F185" s="11" t="s">
        <v>1257</v>
      </c>
      <c r="G185" s="11" t="s">
        <v>1240</v>
      </c>
      <c r="H185" s="11" t="s">
        <v>1905</v>
      </c>
      <c r="I185" s="11" t="s">
        <v>1205</v>
      </c>
      <c r="J185" s="23"/>
      <c r="K185" s="23"/>
    </row>
    <row r="186" spans="1:16" x14ac:dyDescent="0.3">
      <c r="B186" s="3" t="s">
        <v>1207</v>
      </c>
      <c r="C186" s="24">
        <f>COUNTIF('MOBAYE_Cleaned Data'!AJB:AJB,"1")</f>
        <v>0</v>
      </c>
      <c r="D186" s="24">
        <f>COUNTIF('MOBAYE_Cleaned Data'!AJC:AJC,"1")</f>
        <v>0</v>
      </c>
      <c r="E186" s="24">
        <f>COUNTIF('MOBAYE_Cleaned Data'!AJD:AJD,"1")</f>
        <v>0</v>
      </c>
      <c r="F186" s="24">
        <f>COUNTIF('MOBAYE_Cleaned Data'!AJE:AJE,"1")</f>
        <v>1</v>
      </c>
      <c r="G186" s="24">
        <f>COUNTIF('MOBAYE_Cleaned Data'!AJF:AJF,"1")</f>
        <v>1</v>
      </c>
      <c r="H186" s="24">
        <f>COUNTIF('MOBAYE_Cleaned Data'!AJG:AJG,"1")</f>
        <v>0</v>
      </c>
      <c r="I186" s="24">
        <f>COUNTIF('MOBAYE_Cleaned Data'!AJH:AJH,"1")</f>
        <v>0</v>
      </c>
    </row>
    <row r="187" spans="1:16" ht="37.5" x14ac:dyDescent="0.3">
      <c r="B187" s="53" t="s">
        <v>3286</v>
      </c>
      <c r="C187" s="7">
        <f>C186/$B$181</f>
        <v>0</v>
      </c>
      <c r="D187" s="7">
        <f t="shared" ref="D187:I187" si="14">D186/$B$181</f>
        <v>0</v>
      </c>
      <c r="E187" s="7">
        <f t="shared" si="14"/>
        <v>0</v>
      </c>
      <c r="F187" s="7">
        <f t="shared" si="14"/>
        <v>0.5</v>
      </c>
      <c r="G187" s="7">
        <f t="shared" si="14"/>
        <v>0.5</v>
      </c>
      <c r="H187" s="7">
        <f t="shared" si="14"/>
        <v>0</v>
      </c>
      <c r="I187" s="7">
        <f t="shared" si="14"/>
        <v>0</v>
      </c>
    </row>
    <row r="189" spans="1:16" x14ac:dyDescent="0.3">
      <c r="B189" s="18" t="s">
        <v>1265</v>
      </c>
      <c r="D189" s="103" t="s">
        <v>3245</v>
      </c>
    </row>
    <row r="190" spans="1:16" ht="70" x14ac:dyDescent="0.35">
      <c r="B190" s="3"/>
      <c r="C190" s="11" t="s">
        <v>1534</v>
      </c>
      <c r="D190" s="11" t="s">
        <v>1535</v>
      </c>
      <c r="E190" s="11" t="s">
        <v>1985</v>
      </c>
      <c r="F190" s="11" t="s">
        <v>1536</v>
      </c>
      <c r="G190" s="11" t="s">
        <v>1986</v>
      </c>
      <c r="H190" s="11" t="s">
        <v>1987</v>
      </c>
      <c r="I190" s="11" t="s">
        <v>1988</v>
      </c>
      <c r="J190" s="11" t="s">
        <v>1526</v>
      </c>
      <c r="K190" s="11" t="s">
        <v>1527</v>
      </c>
      <c r="L190" s="11" t="s">
        <v>1525</v>
      </c>
      <c r="M190" s="11" t="s">
        <v>1905</v>
      </c>
      <c r="N190" s="11" t="s">
        <v>1205</v>
      </c>
      <c r="P190" s="23"/>
    </row>
    <row r="191" spans="1:16" x14ac:dyDescent="0.3">
      <c r="B191" s="3" t="s">
        <v>1207</v>
      </c>
      <c r="C191" s="24">
        <f>COUNTIF('MOBAYE_Cleaned Data'!AJK:AJK,"1")</f>
        <v>1</v>
      </c>
      <c r="D191" s="24">
        <f>COUNTIF('MOBAYE_Cleaned Data'!AJL:AJL,"1")</f>
        <v>1</v>
      </c>
      <c r="E191" s="24">
        <f>COUNTIF('MOBAYE_Cleaned Data'!AJM:AJM,"1")</f>
        <v>0</v>
      </c>
      <c r="F191" s="24">
        <f>COUNTIF('MOBAYE_Cleaned Data'!AJN:AJN,"1")</f>
        <v>0</v>
      </c>
      <c r="G191" s="24">
        <f>COUNTIF('MOBAYE_Cleaned Data'!AJO:AJO,"1")</f>
        <v>0</v>
      </c>
      <c r="H191" s="24">
        <f>COUNTIF('MOBAYE_Cleaned Data'!AJP:AJP,"1")</f>
        <v>0</v>
      </c>
      <c r="I191" s="24">
        <f>COUNTIF('MOBAYE_Cleaned Data'!AJQ:AJQ,"1")</f>
        <v>1</v>
      </c>
      <c r="J191" s="24">
        <f>COUNTIF('MOBAYE_Cleaned Data'!AJR:AJR,"1")</f>
        <v>0</v>
      </c>
      <c r="K191" s="24">
        <f>COUNTIF('MOBAYE_Cleaned Data'!AJS:AJS,"1")</f>
        <v>0</v>
      </c>
      <c r="L191" s="24">
        <f>COUNTIF('MOBAYE_Cleaned Data'!AJT:AJT,"1")</f>
        <v>0</v>
      </c>
      <c r="M191" s="24">
        <f>COUNTIF('MOBAYE_Cleaned Data'!AJU:AJU,"1")</f>
        <v>0</v>
      </c>
      <c r="N191" s="24">
        <f>COUNTIF('MOBAYE_Cleaned Data'!AJV:AJV,"1")</f>
        <v>0</v>
      </c>
    </row>
    <row r="192" spans="1:16" ht="37.5" x14ac:dyDescent="0.3">
      <c r="B192" s="53" t="s">
        <v>3286</v>
      </c>
      <c r="C192" s="7">
        <f>C191/$B$181</f>
        <v>0.5</v>
      </c>
      <c r="D192" s="7">
        <f t="shared" ref="D192:N192" si="15">D191/$B$181</f>
        <v>0.5</v>
      </c>
      <c r="E192" s="7">
        <f t="shared" si="15"/>
        <v>0</v>
      </c>
      <c r="F192" s="7">
        <f t="shared" si="15"/>
        <v>0</v>
      </c>
      <c r="G192" s="7">
        <f t="shared" si="15"/>
        <v>0</v>
      </c>
      <c r="H192" s="7">
        <f t="shared" si="15"/>
        <v>0</v>
      </c>
      <c r="I192" s="7">
        <f t="shared" si="15"/>
        <v>0.5</v>
      </c>
      <c r="J192" s="7">
        <f t="shared" si="15"/>
        <v>0</v>
      </c>
      <c r="K192" s="7">
        <f t="shared" si="15"/>
        <v>0</v>
      </c>
      <c r="L192" s="7">
        <f t="shared" si="15"/>
        <v>0</v>
      </c>
      <c r="M192" s="7">
        <f t="shared" si="15"/>
        <v>0</v>
      </c>
      <c r="N192" s="7">
        <f t="shared" si="15"/>
        <v>0</v>
      </c>
    </row>
    <row r="193" spans="1:12" x14ac:dyDescent="0.3">
      <c r="B193" s="50"/>
    </row>
    <row r="194" spans="1:12" x14ac:dyDescent="0.3">
      <c r="B194" s="18" t="s">
        <v>1407</v>
      </c>
    </row>
    <row r="195" spans="1:12" x14ac:dyDescent="0.3">
      <c r="B195" s="3"/>
      <c r="C195" s="11" t="s">
        <v>1210</v>
      </c>
      <c r="D195" s="11" t="s">
        <v>1209</v>
      </c>
      <c r="E195" s="114" t="s">
        <v>1206</v>
      </c>
    </row>
    <row r="196" spans="1:12" x14ac:dyDescent="0.3">
      <c r="B196" s="3" t="s">
        <v>1207</v>
      </c>
      <c r="C196" s="24">
        <f>COUNTIF('MOBAYE_Cleaned Data'!AJX:AJX,"OUI")</f>
        <v>1</v>
      </c>
      <c r="D196" s="24">
        <f>COUNTIF('MOBAYE_Cleaned Data'!AJX:AJX,"non")</f>
        <v>1</v>
      </c>
      <c r="E196" s="111">
        <f>SUM(C196:D196)</f>
        <v>2</v>
      </c>
    </row>
    <row r="197" spans="1:12" ht="37.5" x14ac:dyDescent="0.3">
      <c r="B197" s="53" t="s">
        <v>3286</v>
      </c>
      <c r="C197" s="7">
        <f>(C196/$B$181)</f>
        <v>0.5</v>
      </c>
      <c r="D197" s="7">
        <f>(D196/$B$181)</f>
        <v>0.5</v>
      </c>
      <c r="E197" s="7">
        <f>SUM(C197:D197)</f>
        <v>1</v>
      </c>
    </row>
    <row r="199" spans="1:12" x14ac:dyDescent="0.3">
      <c r="C199" s="18" t="s">
        <v>1270</v>
      </c>
      <c r="E199" s="103" t="s">
        <v>3245</v>
      </c>
    </row>
    <row r="200" spans="1:12" x14ac:dyDescent="0.3">
      <c r="C200" s="3"/>
      <c r="D200" s="11" t="s">
        <v>1271</v>
      </c>
      <c r="E200" s="11" t="s">
        <v>1272</v>
      </c>
      <c r="F200" s="11" t="s">
        <v>1273</v>
      </c>
      <c r="G200" s="11" t="s">
        <v>1274</v>
      </c>
      <c r="H200" s="11" t="s">
        <v>1205</v>
      </c>
    </row>
    <row r="201" spans="1:12" x14ac:dyDescent="0.3">
      <c r="C201" s="3" t="s">
        <v>1207</v>
      </c>
      <c r="D201" s="4">
        <f>COUNTIF('MOBAYE_Cleaned Data'!AJZ:AJZ,"1")</f>
        <v>1</v>
      </c>
      <c r="E201" s="4">
        <f>COUNTIF('MOBAYE_Cleaned Data'!AKA:AKA,"1")</f>
        <v>0</v>
      </c>
      <c r="F201" s="4">
        <f>COUNTIF('MOBAYE_Cleaned Data'!AKB:AKB,"1")</f>
        <v>0</v>
      </c>
      <c r="G201" s="4">
        <f>COUNTIF('MOBAYE_Cleaned Data'!AKC:AKC,"1")</f>
        <v>0</v>
      </c>
      <c r="H201" s="4">
        <f>COUNTIF('MOBAYE_Cleaned Data'!AKD:AKD,"1")</f>
        <v>0</v>
      </c>
    </row>
    <row r="202" spans="1:12" ht="49" x14ac:dyDescent="0.3">
      <c r="C202" s="53" t="s">
        <v>3287</v>
      </c>
      <c r="D202" s="7">
        <f>D201/$D$196</f>
        <v>1</v>
      </c>
      <c r="E202" s="7">
        <f t="shared" ref="E202:H202" si="16">E201/$D$196</f>
        <v>0</v>
      </c>
      <c r="F202" s="7">
        <f t="shared" si="16"/>
        <v>0</v>
      </c>
      <c r="G202" s="7">
        <f t="shared" si="16"/>
        <v>0</v>
      </c>
      <c r="H202" s="7">
        <f t="shared" si="16"/>
        <v>0</v>
      </c>
    </row>
    <row r="204" spans="1:12" ht="15.5" x14ac:dyDescent="0.35">
      <c r="A204" s="9" t="s">
        <v>1301</v>
      </c>
      <c r="C204" s="103" t="s">
        <v>3245</v>
      </c>
    </row>
    <row r="206" spans="1:12" ht="70" x14ac:dyDescent="0.3">
      <c r="A206" s="8" t="s">
        <v>1534</v>
      </c>
      <c r="B206" s="8" t="s">
        <v>1535</v>
      </c>
      <c r="C206" s="8" t="s">
        <v>1985</v>
      </c>
      <c r="D206" s="8" t="s">
        <v>1536</v>
      </c>
      <c r="E206" s="8" t="s">
        <v>1986</v>
      </c>
      <c r="F206" s="8" t="s">
        <v>1987</v>
      </c>
      <c r="G206" s="8" t="s">
        <v>1988</v>
      </c>
      <c r="H206" s="8" t="s">
        <v>1526</v>
      </c>
      <c r="I206" s="8" t="s">
        <v>1527</v>
      </c>
      <c r="J206" s="8" t="s">
        <v>1525</v>
      </c>
      <c r="K206" s="8" t="s">
        <v>1905</v>
      </c>
      <c r="L206" s="8" t="s">
        <v>1205</v>
      </c>
    </row>
    <row r="207" spans="1:12" x14ac:dyDescent="0.3">
      <c r="A207" s="24">
        <f>COUNTIF('MOBAYE_Cleaned Data'!AKG:AKG,"1")</f>
        <v>0</v>
      </c>
      <c r="B207" s="24">
        <f>COUNTIF('MOBAYE_Cleaned Data'!AKH:AKH,"1")</f>
        <v>2</v>
      </c>
      <c r="C207" s="24">
        <f>COUNTIF('MOBAYE_Cleaned Data'!AKI:AKI,"1")</f>
        <v>2</v>
      </c>
      <c r="D207" s="24">
        <f>COUNTIF('MOBAYE_Cleaned Data'!AKJ:AKJ,"1")</f>
        <v>2</v>
      </c>
      <c r="E207" s="24">
        <f>COUNTIF('MOBAYE_Cleaned Data'!AKK:AKK,"1")</f>
        <v>1</v>
      </c>
      <c r="F207" s="24">
        <f>COUNTIF('MOBAYE_Cleaned Data'!AKL:AKL,"1")</f>
        <v>0</v>
      </c>
      <c r="G207" s="24">
        <f>COUNTIF('MOBAYE_Cleaned Data'!AKM:AKM,"1")</f>
        <v>2</v>
      </c>
      <c r="H207" s="24">
        <f>COUNTIF('MOBAYE_Cleaned Data'!AKN:AKN,"1")</f>
        <v>2</v>
      </c>
      <c r="I207" s="24">
        <f>COUNTIF('MOBAYE_Cleaned Data'!AKO:AKO,"1")</f>
        <v>0</v>
      </c>
      <c r="J207" s="24">
        <f>COUNTIF('MOBAYE_Cleaned Data'!AKP:AKP,"1")</f>
        <v>0</v>
      </c>
      <c r="K207" s="24">
        <f>COUNTIF('MOBAYE_Cleaned Data'!AKQ:AKQ,"1")</f>
        <v>0</v>
      </c>
      <c r="L207" s="24">
        <f>COUNTIF('MOBAYE_Cleaned Data'!AKR:AKR,"1")</f>
        <v>0</v>
      </c>
    </row>
    <row r="208" spans="1:12" x14ac:dyDescent="0.3">
      <c r="L208" s="74"/>
    </row>
  </sheetData>
  <conditionalFormatting sqref="B53:L53">
    <cfRule type="colorScale" priority="35">
      <colorScale>
        <cfvo type="min"/>
        <cfvo type="max"/>
        <color theme="6" tint="0.79998168889431442"/>
        <color theme="5" tint="0.39997558519241921"/>
      </colorScale>
    </cfRule>
  </conditionalFormatting>
  <conditionalFormatting sqref="C112:F112">
    <cfRule type="colorScale" priority="34">
      <colorScale>
        <cfvo type="min"/>
        <cfvo type="max"/>
        <color theme="6" tint="0.79998168889431442"/>
        <color theme="5" tint="0.39997558519241921"/>
      </colorScale>
    </cfRule>
  </conditionalFormatting>
  <conditionalFormatting sqref="C117:I117">
    <cfRule type="colorScale" priority="33">
      <colorScale>
        <cfvo type="min"/>
        <cfvo type="max"/>
        <color theme="6" tint="0.79998168889431442"/>
        <color theme="5" tint="0.39997558519241921"/>
      </colorScale>
    </cfRule>
  </conditionalFormatting>
  <conditionalFormatting sqref="C122:J122">
    <cfRule type="colorScale" priority="32">
      <colorScale>
        <cfvo type="min"/>
        <cfvo type="max"/>
        <color theme="6" tint="0.79998168889431442"/>
        <color theme="5" tint="0.39997558519241921"/>
      </colorScale>
    </cfRule>
  </conditionalFormatting>
  <conditionalFormatting sqref="A164:F165">
    <cfRule type="colorScale" priority="36">
      <colorScale>
        <cfvo type="min"/>
        <cfvo type="max"/>
        <color theme="6" tint="0.79998168889431442"/>
        <color theme="5" tint="0.39997558519241921"/>
      </colorScale>
    </cfRule>
  </conditionalFormatting>
  <conditionalFormatting sqref="B168:F168">
    <cfRule type="colorScale" priority="31">
      <colorScale>
        <cfvo type="min"/>
        <cfvo type="max"/>
        <color theme="6" tint="0.79998168889431442"/>
        <color theme="5" tint="0.39997558519241921"/>
      </colorScale>
    </cfRule>
  </conditionalFormatting>
  <conditionalFormatting sqref="A173:J173">
    <cfRule type="colorScale" priority="37">
      <colorScale>
        <cfvo type="min"/>
        <cfvo type="max"/>
        <color theme="6" tint="0.79998168889431442"/>
        <color theme="5" tint="0.39997558519241921"/>
      </colorScale>
    </cfRule>
  </conditionalFormatting>
  <conditionalFormatting sqref="A177:M177">
    <cfRule type="colorScale" priority="30">
      <colorScale>
        <cfvo type="min"/>
        <cfvo type="max"/>
        <color theme="6" tint="0.79998168889431442"/>
        <color theme="5" tint="0.39997558519241921"/>
      </colorScale>
    </cfRule>
  </conditionalFormatting>
  <conditionalFormatting sqref="D201:H201">
    <cfRule type="colorScale" priority="29">
      <colorScale>
        <cfvo type="min"/>
        <cfvo type="max"/>
        <color theme="6" tint="0.79998168889431442"/>
        <color theme="5" tint="0.39997558519241921"/>
      </colorScale>
    </cfRule>
  </conditionalFormatting>
  <conditionalFormatting sqref="A207:L207">
    <cfRule type="colorScale" priority="28">
      <colorScale>
        <cfvo type="min"/>
        <cfvo type="max"/>
        <color theme="6" tint="0.79998168889431442"/>
        <color theme="5" tint="0.39997558519241921"/>
      </colorScale>
    </cfRule>
  </conditionalFormatting>
  <conditionalFormatting sqref="C191:N191">
    <cfRule type="colorScale" priority="27">
      <colorScale>
        <cfvo type="min"/>
        <cfvo type="max"/>
        <color theme="6" tint="0.79998168889431442"/>
        <color theme="5" tint="0.39997558519241921"/>
      </colorScale>
    </cfRule>
  </conditionalFormatting>
  <conditionalFormatting sqref="B7:D7">
    <cfRule type="colorScale" priority="26">
      <colorScale>
        <cfvo type="min"/>
        <cfvo type="max"/>
        <color theme="6" tint="0.79998168889431442"/>
        <color theme="5" tint="0.39997558519241921"/>
      </colorScale>
    </cfRule>
  </conditionalFormatting>
  <conditionalFormatting sqref="B18:D18">
    <cfRule type="colorScale" priority="25">
      <colorScale>
        <cfvo type="min"/>
        <cfvo type="max"/>
        <color theme="6" tint="0.79998168889431442"/>
        <color theme="5" tint="0.39997558519241921"/>
      </colorScale>
    </cfRule>
  </conditionalFormatting>
  <conditionalFormatting sqref="B23:D23">
    <cfRule type="colorScale" priority="24">
      <colorScale>
        <cfvo type="min"/>
        <cfvo type="max"/>
        <color theme="6" tint="0.79998168889431442"/>
        <color theme="5" tint="0.39997558519241921"/>
      </colorScale>
    </cfRule>
  </conditionalFormatting>
  <conditionalFormatting sqref="C28:K28">
    <cfRule type="colorScale" priority="23">
      <colorScale>
        <cfvo type="min"/>
        <cfvo type="max"/>
        <color theme="6" tint="0.79998168889431442"/>
        <color theme="5" tint="0.39997558519241921"/>
      </colorScale>
    </cfRule>
  </conditionalFormatting>
  <conditionalFormatting sqref="C38:J38">
    <cfRule type="colorScale" priority="22">
      <colorScale>
        <cfvo type="min"/>
        <cfvo type="max"/>
        <color theme="6" tint="0.79998168889431442"/>
        <color theme="5" tint="0.39997558519241921"/>
      </colorScale>
    </cfRule>
  </conditionalFormatting>
  <conditionalFormatting sqref="C33:G33">
    <cfRule type="colorScale" priority="21">
      <colorScale>
        <cfvo type="min"/>
        <cfvo type="max"/>
        <color theme="6" tint="0.79998168889431442"/>
        <color theme="5" tint="0.39997558519241921"/>
      </colorScale>
    </cfRule>
  </conditionalFormatting>
  <conditionalFormatting sqref="C43:G43">
    <cfRule type="colorScale" priority="20">
      <colorScale>
        <cfvo type="min"/>
        <cfvo type="max"/>
        <color theme="6" tint="0.79998168889431442"/>
        <color theme="5" tint="0.39997558519241921"/>
      </colorScale>
    </cfRule>
  </conditionalFormatting>
  <conditionalFormatting sqref="B48:H48">
    <cfRule type="colorScale" priority="19">
      <colorScale>
        <cfvo type="min"/>
        <cfvo type="max"/>
        <color theme="6" tint="0.79998168889431442"/>
        <color theme="5" tint="0.39997558519241921"/>
      </colorScale>
    </cfRule>
  </conditionalFormatting>
  <conditionalFormatting sqref="B58:C58">
    <cfRule type="colorScale" priority="18">
      <colorScale>
        <cfvo type="min"/>
        <cfvo type="max"/>
        <color theme="6" tint="0.79998168889431442"/>
        <color theme="5" tint="0.39997558519241921"/>
      </colorScale>
    </cfRule>
  </conditionalFormatting>
  <conditionalFormatting sqref="C66:D66">
    <cfRule type="colorScale" priority="17">
      <colorScale>
        <cfvo type="min"/>
        <cfvo type="max"/>
        <color theme="6" tint="0.79998168889431442"/>
        <color theme="5" tint="0.39997558519241921"/>
      </colorScale>
    </cfRule>
  </conditionalFormatting>
  <conditionalFormatting sqref="C76:D76">
    <cfRule type="colorScale" priority="16">
      <colorScale>
        <cfvo type="min"/>
        <cfvo type="max"/>
        <color theme="6" tint="0.79998168889431442"/>
        <color theme="5" tint="0.39997558519241921"/>
      </colorScale>
    </cfRule>
  </conditionalFormatting>
  <conditionalFormatting sqref="B81:C81">
    <cfRule type="colorScale" priority="15">
      <colorScale>
        <cfvo type="min"/>
        <cfvo type="max"/>
        <color theme="6" tint="0.79998168889431442"/>
        <color theme="5" tint="0.39997558519241921"/>
      </colorScale>
    </cfRule>
  </conditionalFormatting>
  <conditionalFormatting sqref="B148:C148">
    <cfRule type="colorScale" priority="14">
      <colorScale>
        <cfvo type="min"/>
        <cfvo type="max"/>
        <color theme="6" tint="0.79998168889431442"/>
        <color theme="5" tint="0.39997558519241921"/>
      </colorScale>
    </cfRule>
  </conditionalFormatting>
  <conditionalFormatting sqref="B107:C107">
    <cfRule type="colorScale" priority="13">
      <colorScale>
        <cfvo type="min"/>
        <cfvo type="max"/>
        <color theme="6" tint="0.79998168889431442"/>
        <color theme="5" tint="0.39997558519241921"/>
      </colorScale>
    </cfRule>
  </conditionalFormatting>
  <conditionalFormatting sqref="B136:D136">
    <cfRule type="colorScale" priority="12">
      <colorScale>
        <cfvo type="min"/>
        <cfvo type="max"/>
        <color theme="6" tint="0.79998168889431442"/>
        <color theme="5" tint="0.39997558519241921"/>
      </colorScale>
    </cfRule>
  </conditionalFormatting>
  <conditionalFormatting sqref="B141:D141">
    <cfRule type="colorScale" priority="11">
      <colorScale>
        <cfvo type="min"/>
        <cfvo type="max"/>
        <color theme="6" tint="0.79998168889431442"/>
        <color theme="5" tint="0.39997558519241921"/>
      </colorScale>
    </cfRule>
  </conditionalFormatting>
  <conditionalFormatting sqref="B153:C153">
    <cfRule type="colorScale" priority="10">
      <colorScale>
        <cfvo type="min"/>
        <cfvo type="max"/>
        <color theme="6" tint="0.79998168889431442"/>
        <color theme="5" tint="0.39997558519241921"/>
      </colorScale>
    </cfRule>
  </conditionalFormatting>
  <conditionalFormatting sqref="F158:G158">
    <cfRule type="colorScale" priority="9">
      <colorScale>
        <cfvo type="min"/>
        <cfvo type="max"/>
        <color theme="6" tint="0.79998168889431442"/>
        <color theme="5" tint="0.39997558519241921"/>
      </colorScale>
    </cfRule>
  </conditionalFormatting>
  <conditionalFormatting sqref="B181:C181">
    <cfRule type="colorScale" priority="8">
      <colorScale>
        <cfvo type="min"/>
        <cfvo type="max"/>
        <color theme="6" tint="0.79998168889431442"/>
        <color theme="5" tint="0.39997558519241921"/>
      </colorScale>
    </cfRule>
  </conditionalFormatting>
  <conditionalFormatting sqref="C186:I186">
    <cfRule type="colorScale" priority="7">
      <colorScale>
        <cfvo type="min"/>
        <cfvo type="max"/>
        <color theme="6" tint="0.79998168889431442"/>
        <color theme="5" tint="0.39997558519241921"/>
      </colorScale>
    </cfRule>
  </conditionalFormatting>
  <conditionalFormatting sqref="C196:D196">
    <cfRule type="colorScale" priority="6">
      <colorScale>
        <cfvo type="min"/>
        <cfvo type="max"/>
        <color theme="6" tint="0.79998168889431442"/>
        <color theme="5" tint="0.39997558519241921"/>
      </colorScale>
    </cfRule>
  </conditionalFormatting>
  <conditionalFormatting sqref="B12:F12">
    <cfRule type="colorScale" priority="5">
      <colorScale>
        <cfvo type="min"/>
        <cfvo type="max"/>
        <color theme="6" tint="0.79998168889431442"/>
        <color theme="5" tint="0.39997558519241921"/>
      </colorScale>
    </cfRule>
  </conditionalFormatting>
  <conditionalFormatting sqref="D148">
    <cfRule type="colorScale" priority="4">
      <colorScale>
        <cfvo type="min"/>
        <cfvo type="max"/>
        <color theme="6" tint="0.79998168889431442"/>
        <color theme="5" tint="0.39997558519241921"/>
      </colorScale>
    </cfRule>
  </conditionalFormatting>
  <conditionalFormatting sqref="C86:K86">
    <cfRule type="colorScale" priority="3">
      <colorScale>
        <cfvo type="min"/>
        <cfvo type="max"/>
        <color theme="6" tint="0.79998168889431442"/>
        <color theme="5" tint="0.39997558519241921"/>
      </colorScale>
    </cfRule>
  </conditionalFormatting>
  <conditionalFormatting sqref="D107">
    <cfRule type="colorScale" priority="2">
      <colorScale>
        <cfvo type="min"/>
        <cfvo type="max"/>
        <color theme="6" tint="0.79998168889431442"/>
        <color theme="5" tint="0.39997558519241921"/>
      </colorScale>
    </cfRule>
  </conditionalFormatting>
  <conditionalFormatting sqref="E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7C3"/>
  </sheetPr>
  <dimension ref="A2:P157"/>
  <sheetViews>
    <sheetView zoomScale="90" zoomScaleNormal="90" workbookViewId="0">
      <selection activeCell="D123" sqref="D123"/>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COUNTIFS('MOBAYE_Cleaned Data'!N:N,"marche",'MOBAYE_Cleaned Data'!J:J,"MOBAYE")</f>
        <v>1</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COUNTIF('MOBAYE_Cleaned Data'!AKU:AKU,"oui")</f>
        <v>1</v>
      </c>
      <c r="C7" s="24">
        <f>COUNTIF('MOBAYE_Cleaned Data'!AKU:AKU,"non")</f>
        <v>0</v>
      </c>
      <c r="D7" s="24">
        <f>COUNTIF('MOBAYE_Cleaned Data'!AKU:AKU,"partiel")</f>
        <v>0</v>
      </c>
      <c r="E7" s="62">
        <f>SUM(B7+D7)</f>
        <v>1</v>
      </c>
    </row>
    <row r="8" spans="1:10" ht="26" x14ac:dyDescent="0.3">
      <c r="A8" s="121" t="s">
        <v>3316</v>
      </c>
      <c r="B8" s="39">
        <f>(B7/$E$7)</f>
        <v>1</v>
      </c>
      <c r="C8" s="39">
        <f>(C7/$E$7)</f>
        <v>0</v>
      </c>
      <c r="D8" s="38">
        <f>COUNTIF('MOBAYE_Cleaned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COUNTIF('MOBAYE_Cleaned Data'!ALF:ALF,"oui")</f>
        <v>1</v>
      </c>
      <c r="C12" s="24">
        <f>COUNTIF('MOBAYE_Cleaned Data'!ALF:ALF,"non")</f>
        <v>0</v>
      </c>
      <c r="D12" s="25">
        <f>SUM(B12:C12)</f>
        <v>1</v>
      </c>
    </row>
    <row r="13" spans="1:10" ht="26" x14ac:dyDescent="0.3">
      <c r="A13" s="121" t="s">
        <v>3316</v>
      </c>
      <c r="B13" s="39">
        <f>(B12/$B$3)</f>
        <v>1</v>
      </c>
      <c r="C13" s="39">
        <f>(C12/$B$3)</f>
        <v>0</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COUNTIF('MOBAYE_Cleaned Data'!ALG:ALG,"oui")</f>
        <v>1</v>
      </c>
      <c r="D17" s="24">
        <f>COUNTIF('MOBAYE_Cleaned Data'!ALG:ALG,"non")</f>
        <v>0</v>
      </c>
      <c r="E17" s="25">
        <f>SUM(C17:D17)</f>
        <v>1</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COUNTIF('MOBAYE_Cleaned Data'!ALO:ALO,"1")</f>
        <v>1</v>
      </c>
      <c r="C22" s="24">
        <f>COUNTIF('MOBAYE_Cleaned Data'!ALP:ALP,"1")</f>
        <v>1</v>
      </c>
      <c r="D22" s="24">
        <f>COUNTIF('MOBAYE_Cleaned Data'!ALQ:ALQ,"1")</f>
        <v>0</v>
      </c>
      <c r="E22" s="24">
        <f>COUNTIF('MOBAYE_Cleaned Data'!ALR:ALR,"1")</f>
        <v>0</v>
      </c>
      <c r="F22" s="24">
        <f>COUNTIF('MOBAYE_Cleaned Data'!ALS:ALS,"1")</f>
        <v>1</v>
      </c>
      <c r="G22" s="24">
        <f>COUNTIF('MOBAYE_Cleaned Data'!ALT:ALT,"1")</f>
        <v>0</v>
      </c>
      <c r="H22" s="24">
        <f>COUNTIF('MOBAYE_Cleaned Data'!ALU:ALU,"1")</f>
        <v>1</v>
      </c>
      <c r="I22" s="24">
        <f>COUNTIF('MOBAYE_Cleaned Data'!ALV:ALV,"1")</f>
        <v>0</v>
      </c>
    </row>
    <row r="23" spans="1:10" ht="26" x14ac:dyDescent="0.3">
      <c r="A23" s="121" t="s">
        <v>3319</v>
      </c>
      <c r="B23" s="39">
        <f>B22/$E$7</f>
        <v>1</v>
      </c>
      <c r="C23" s="39">
        <f t="shared" ref="C23:I23" si="0">C22/$E$7</f>
        <v>1</v>
      </c>
      <c r="D23" s="39">
        <f t="shared" si="0"/>
        <v>0</v>
      </c>
      <c r="E23" s="39">
        <f t="shared" si="0"/>
        <v>0</v>
      </c>
      <c r="F23" s="39">
        <f t="shared" si="0"/>
        <v>1</v>
      </c>
      <c r="G23" s="39">
        <f t="shared" si="0"/>
        <v>0</v>
      </c>
      <c r="H23" s="39">
        <f t="shared" si="0"/>
        <v>1</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IF('MOBAYE_Cleaned Data'!AMW:AMW&lt;999,AVERAGE('MOBAYE_Cleaned Data'!AMW:AMW))</f>
        <v>37</v>
      </c>
    </row>
    <row r="28" spans="1:10" ht="15.5" x14ac:dyDescent="0.35">
      <c r="A28" s="29" t="s">
        <v>1999</v>
      </c>
    </row>
    <row r="29" spans="1:10" x14ac:dyDescent="0.3">
      <c r="A29" s="24"/>
      <c r="B29" s="8" t="s">
        <v>1210</v>
      </c>
      <c r="C29" s="8" t="s">
        <v>1209</v>
      </c>
      <c r="D29" s="127" t="s">
        <v>1206</v>
      </c>
    </row>
    <row r="30" spans="1:10" x14ac:dyDescent="0.3">
      <c r="A30" s="24" t="s">
        <v>1207</v>
      </c>
      <c r="B30" s="24">
        <f>COUNTIF('MOBAYE_Cleaned Data'!AMX:AMX,"oui")</f>
        <v>1</v>
      </c>
      <c r="C30" s="24">
        <f>COUNTIF('MOBAYE_Cleaned Data'!AMX:AMX,"non")</f>
        <v>0</v>
      </c>
      <c r="D30" s="25">
        <f>SUM(B30:C30)</f>
        <v>1</v>
      </c>
    </row>
    <row r="31" spans="1:10" ht="26" x14ac:dyDescent="0.3">
      <c r="A31" s="121" t="s">
        <v>3319</v>
      </c>
      <c r="B31" s="39">
        <f>(B30/$E$7)</f>
        <v>1</v>
      </c>
      <c r="C31" s="39">
        <f>(C30/$E$7)</f>
        <v>0</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COUNTIF('MOBAYE_Cleaned Data'!AMY:AMY,"peu_diminue")</f>
        <v>0</v>
      </c>
      <c r="D35" s="24">
        <f>COUNTIF('MOBAYE_Cleaned Data'!AMY:AMY,"bcp_diminue")</f>
        <v>1</v>
      </c>
      <c r="E35" s="24">
        <f>COUNTIF('MOBAYE_Cleaned Data'!AMY:AMY,"peu_augmente")</f>
        <v>0</v>
      </c>
      <c r="F35" s="24">
        <f>COUNTIF('MOBAYE_Cleaned Data'!AMY:AMY,"bcp_augmente")</f>
        <v>0</v>
      </c>
      <c r="G35" s="25">
        <f>SUM(C35:F35)</f>
        <v>1</v>
      </c>
    </row>
    <row r="36" spans="1:13" ht="49" x14ac:dyDescent="0.3">
      <c r="B36" s="121" t="s">
        <v>3320</v>
      </c>
      <c r="C36" s="39">
        <f>C35/$B$30</f>
        <v>0</v>
      </c>
      <c r="D36" s="39">
        <f t="shared" ref="D36:F36" si="1">D35/$B$30</f>
        <v>1</v>
      </c>
      <c r="E36" s="39">
        <f t="shared" si="1"/>
        <v>0</v>
      </c>
      <c r="F36" s="39">
        <f t="shared" si="1"/>
        <v>0</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COUNTIF('MOBAYE_Cleaned Data'!ANL:ANL,"1")</f>
        <v>0</v>
      </c>
      <c r="D40" s="24">
        <f>COUNTIF('MOBAYE_Cleaned Data'!ANM:ANM,"1")</f>
        <v>0</v>
      </c>
      <c r="E40" s="24">
        <f>COUNTIF('MOBAYE_Cleaned Data'!ANN:ANN,"1")</f>
        <v>0</v>
      </c>
      <c r="F40" s="24">
        <f>COUNTIF('MOBAYE_Cleaned Data'!ANO:ANO,"1")</f>
        <v>0</v>
      </c>
      <c r="G40" s="24">
        <f>COUNTIF('MOBAYE_Cleaned Data'!ANP:ANP,"1")</f>
        <v>0</v>
      </c>
      <c r="H40" s="24">
        <f>COUNTIF('MOBAYE_Cleaned Data'!ANV:ANV,"1")</f>
        <v>0</v>
      </c>
      <c r="I40" s="24">
        <f>COUNTIF('MOBAYE_Cleaned Data'!ANQ:ANQ,"1")</f>
        <v>1</v>
      </c>
      <c r="J40" s="24">
        <f>COUNTIF('MOBAYE_Cleaned Data'!ANR:ANR,"1")</f>
        <v>1</v>
      </c>
      <c r="K40" s="24">
        <f>COUNTIF('MOBAYE_Cleaned Data'!ANS:ANS,"1")</f>
        <v>1</v>
      </c>
      <c r="L40" s="24">
        <f>COUNTIF('MOBAYE_Cleaned Data'!ANT:ANT,"1")</f>
        <v>0</v>
      </c>
      <c r="M40" s="24">
        <f>COUNTIF('MOBAYE_Cleaned Data'!ANU:ANU,"1")</f>
        <v>0</v>
      </c>
    </row>
    <row r="41" spans="1:13" ht="49" x14ac:dyDescent="0.3">
      <c r="B41" s="121" t="s">
        <v>3321</v>
      </c>
      <c r="C41" s="39">
        <f>C40/(C35+D35)</f>
        <v>0</v>
      </c>
      <c r="D41" s="39">
        <f>D40/(C35+D35)</f>
        <v>0</v>
      </c>
      <c r="E41" s="39">
        <f>E40/(C35+D35)</f>
        <v>0</v>
      </c>
      <c r="F41" s="39">
        <f>F40/(C35+D35)</f>
        <v>0</v>
      </c>
      <c r="G41" s="39">
        <f>G40/(C35+D35)</f>
        <v>0</v>
      </c>
      <c r="H41" s="39">
        <f>H40/(C35+D35)</f>
        <v>0</v>
      </c>
      <c r="I41" s="39">
        <f>I40/(C35+D35)</f>
        <v>1</v>
      </c>
      <c r="J41" s="39">
        <f>J40/(C35+D35)</f>
        <v>1</v>
      </c>
      <c r="K41" s="39">
        <f>K40/(C35+D35)</f>
        <v>1</v>
      </c>
      <c r="L41" s="39">
        <f>L40/(C35+D35)</f>
        <v>0</v>
      </c>
      <c r="M41" s="39">
        <f>M40/(C35+D35)</f>
        <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COUNTIF('MOBAYE_Cleaned Data'!ANA:ANA,"1")</f>
        <v>0</v>
      </c>
      <c r="D45" s="24">
        <f>COUNTIF('MOBAYE_Cleaned Data'!ANB:ANB,"1")</f>
        <v>0</v>
      </c>
      <c r="E45" s="24">
        <f>COUNTIF('MOBAYE_Cleaned Data'!ANC:ANC,"1")</f>
        <v>0</v>
      </c>
      <c r="F45" s="24">
        <f>COUNTIF('MOBAYE_Cleaned Data'!AND:AND,"1")</f>
        <v>0</v>
      </c>
      <c r="G45" s="24">
        <f>COUNTIF('MOBAYE_Cleaned Data'!ANE:ANE,"1")</f>
        <v>0</v>
      </c>
      <c r="H45" s="24">
        <f>COUNTIF('MOBAYE_Cleaned Data'!ANF:ANF,"1")</f>
        <v>0</v>
      </c>
      <c r="I45" s="24">
        <f>COUNTIF('MOBAYE_Cleaned Data'!ANG:ANG,"1")</f>
        <v>0</v>
      </c>
      <c r="J45" s="24">
        <f>COUNTIF('MOBAYE_Cleaned Data'!ANH:ANH,"1")</f>
        <v>0</v>
      </c>
      <c r="K45" s="24">
        <f>COUNTIF('MOBAYE_Cleaned Data'!ANI:ANI,"1")</f>
        <v>0</v>
      </c>
      <c r="L45" s="41"/>
      <c r="M45" s="41"/>
    </row>
    <row r="46" spans="1:13" ht="49" x14ac:dyDescent="0.3">
      <c r="B46" s="121" t="s">
        <v>3322</v>
      </c>
      <c r="C46" s="39" t="e">
        <f>C45/(E35+F35)</f>
        <v>#DIV/0!</v>
      </c>
      <c r="D46" s="39" t="e">
        <f>D45/(E35+F35)</f>
        <v>#DIV/0!</v>
      </c>
      <c r="E46" s="39" t="e">
        <f>E45/(E35+F35)</f>
        <v>#DIV/0!</v>
      </c>
      <c r="F46" s="39" t="e">
        <f>F45/(E35+F35)</f>
        <v>#DIV/0!</v>
      </c>
      <c r="G46" s="39" t="e">
        <f>G45/(E35+F35)</f>
        <v>#DIV/0!</v>
      </c>
      <c r="H46" s="39" t="e">
        <f>H45/(E35+F35)</f>
        <v>#DIV/0!</v>
      </c>
      <c r="I46" s="39" t="e">
        <f>I45/(E35+F35)</f>
        <v>#DIV/0!</v>
      </c>
      <c r="J46" s="39" t="e">
        <f>J45/(E35+F35)</f>
        <v>#DIV/0!</v>
      </c>
      <c r="K46" s="39" t="e">
        <f>K45/(E35+F35)</f>
        <v>#DIV/0!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COUNTIF('MOBAYE_Cleaned Data'!ANX:ANX,"oui")</f>
        <v>0</v>
      </c>
      <c r="C50" s="24">
        <f>COUNTIF('MOBAYE_Cleaned Data'!ANX:ANX,"non")</f>
        <v>1</v>
      </c>
      <c r="D50" s="25">
        <f>SUM(B50:C50)</f>
        <v>1</v>
      </c>
    </row>
    <row r="51" spans="1:12" ht="26" x14ac:dyDescent="0.3">
      <c r="A51" s="121" t="s">
        <v>3319</v>
      </c>
      <c r="B51" s="39">
        <f>(B50/$E$7)</f>
        <v>0</v>
      </c>
      <c r="C51" s="39">
        <f>(C50/$E$7)</f>
        <v>1</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COUNTIF('MOBAYE_Cleaned Data'!ARH:ARH,"1")</f>
        <v>0</v>
      </c>
      <c r="C55" s="38">
        <f>COUNTIF('MOBAYE_Cleaned Data'!ARI:ARI,"1")</f>
        <v>0</v>
      </c>
      <c r="D55" s="38">
        <f>COUNTIF('MOBAYE_Cleaned Data'!ARJ:ARJ,"1")</f>
        <v>1</v>
      </c>
      <c r="E55" s="38">
        <f>COUNTIF('MOBAYE_Cleaned Data'!ARQ:ARQ,"1")</f>
        <v>0</v>
      </c>
      <c r="F55" s="38">
        <f>COUNTIF('MOBAYE_Cleaned Data'!ARR:ARR,"1")</f>
        <v>0</v>
      </c>
      <c r="G55" s="38">
        <f>COUNTIF('MOBAYE_Cleaned Data'!ARK:ARK,"1")</f>
        <v>0</v>
      </c>
      <c r="H55" s="38">
        <f>COUNTIF('MOBAYE_Cleaned Data'!ARL:ARL,"1")</f>
        <v>0</v>
      </c>
      <c r="I55" s="38">
        <f>COUNTIF('MOBAYE_Cleaned Data'!ARM:ARM,"1")</f>
        <v>0</v>
      </c>
      <c r="J55" s="38">
        <f>COUNTIF('MOBAYE_Cleaned Data'!ARS:ARS,"1")</f>
        <v>0</v>
      </c>
      <c r="K55" s="38">
        <f>COUNTIF('MOBAYE_Cleaned Data'!ARO:ARO,"1")</f>
        <v>0</v>
      </c>
      <c r="L55" s="38">
        <f>COUNTIF('MOBAYE_Cleaned Data'!ARP:ARP,"1")</f>
        <v>0</v>
      </c>
    </row>
    <row r="56" spans="1:12" ht="26" x14ac:dyDescent="0.3">
      <c r="A56" s="121" t="s">
        <v>3316</v>
      </c>
      <c r="B56" s="39">
        <f t="shared" ref="B56:L56" si="2">B55/$B$3</f>
        <v>0</v>
      </c>
      <c r="C56" s="39">
        <f t="shared" si="2"/>
        <v>0</v>
      </c>
      <c r="D56" s="39">
        <f t="shared" si="2"/>
        <v>1</v>
      </c>
      <c r="E56" s="39">
        <f t="shared" si="2"/>
        <v>0</v>
      </c>
      <c r="F56" s="39">
        <f t="shared" si="2"/>
        <v>0</v>
      </c>
      <c r="G56" s="39">
        <f t="shared" si="2"/>
        <v>0</v>
      </c>
      <c r="H56" s="39">
        <f t="shared" si="2"/>
        <v>0</v>
      </c>
      <c r="I56" s="39">
        <f t="shared" si="2"/>
        <v>0</v>
      </c>
      <c r="J56" s="39">
        <f t="shared" si="2"/>
        <v>0</v>
      </c>
      <c r="K56" s="39">
        <f t="shared" si="2"/>
        <v>0</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COUNTIF('MOBAYE_Cleaned Data'!AOA:AOA,"1")</f>
        <v>1</v>
      </c>
      <c r="C61" s="24">
        <f>COUNTIF('MOBAYE_Cleaned Data'!AOB:AOB,"1")</f>
        <v>0</v>
      </c>
      <c r="D61" s="24">
        <f>COUNTIF('MOBAYE_Cleaned Data'!AOC:AOC,"1")</f>
        <v>0</v>
      </c>
      <c r="E61" s="24">
        <f>COUNTIF('MOBAYE_Cleaned Data'!AOD:AOD,"1")</f>
        <v>0</v>
      </c>
      <c r="F61" s="24">
        <f>COUNTIF('MOBAYE_Cleaned Data'!AOE:AOE,"1")</f>
        <v>0</v>
      </c>
      <c r="G61" s="24">
        <f>COUNTIF('MOBAYE_Cleaned Data'!AOF:AOF,"1")</f>
        <v>0</v>
      </c>
      <c r="H61" s="24">
        <f>COUNTIF('MOBAYE_Cleaned Data'!AOG:AOG,"1")</f>
        <v>0</v>
      </c>
      <c r="I61" s="24">
        <f>COUNTIF('MOBAYE_Cleaned Data'!AOH:AOH,"1")</f>
        <v>0</v>
      </c>
      <c r="J61" s="14"/>
    </row>
    <row r="62" spans="1:12" ht="26" x14ac:dyDescent="0.3">
      <c r="A62" s="121" t="s">
        <v>3319</v>
      </c>
      <c r="B62" s="39">
        <f>B61/$E$7</f>
        <v>1</v>
      </c>
      <c r="C62" s="39">
        <f t="shared" ref="C62:I62" si="3">C61/$E$7</f>
        <v>0</v>
      </c>
      <c r="D62" s="39">
        <f t="shared" si="3"/>
        <v>0</v>
      </c>
      <c r="E62" s="39">
        <f t="shared" si="3"/>
        <v>0</v>
      </c>
      <c r="F62" s="39">
        <f t="shared" si="3"/>
        <v>0</v>
      </c>
      <c r="G62" s="39">
        <f t="shared" si="3"/>
        <v>0</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COUNTIF('MOBAYE_Cleaned Data'!AOL:AOL,"local")</f>
        <v>0</v>
      </c>
      <c r="D66" s="24">
        <f>COUNTIF('MOBAYE_Cleaned Data'!AOM:AOM,"local")</f>
        <v>0</v>
      </c>
      <c r="E66" s="24">
        <f>COUNTIF('MOBAYE_Cleaned Data'!AON:AON,"local")</f>
        <v>0</v>
      </c>
      <c r="F66" s="24">
        <f>COUNTIF('MOBAYE_Cleaned Data'!AOO:AOO,"local")</f>
        <v>0</v>
      </c>
      <c r="G66" s="24">
        <f>COUNTIF('MOBAYE_Cleaned Data'!AOP:AOP,"local")</f>
        <v>0</v>
      </c>
      <c r="H66" s="24">
        <f>COUNTIF('MOBAYE_Cleaned Data'!AOQ:AOQ,"local")</f>
        <v>0</v>
      </c>
      <c r="I66" s="25">
        <f>SUM(C66:H66)</f>
        <v>0</v>
      </c>
    </row>
    <row r="67" spans="1:9" ht="37.5" x14ac:dyDescent="0.3">
      <c r="B67" s="121" t="s">
        <v>3319</v>
      </c>
      <c r="C67" s="39">
        <f>C66/$E$7</f>
        <v>0</v>
      </c>
      <c r="D67" s="39">
        <f t="shared" ref="D67:H67" si="4">D66/$E$7</f>
        <v>0</v>
      </c>
      <c r="E67" s="39">
        <f t="shared" si="4"/>
        <v>0</v>
      </c>
      <c r="F67" s="39">
        <f t="shared" si="4"/>
        <v>0</v>
      </c>
      <c r="G67" s="39">
        <f t="shared" si="4"/>
        <v>0</v>
      </c>
      <c r="H67" s="39">
        <f t="shared" si="4"/>
        <v>0</v>
      </c>
      <c r="I67" s="128">
        <f>SUM(C67:H67)</f>
        <v>0</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COUNTIF('MOBAYE_Cleaned Data'!AOJ:AOJ,"hebdo")</f>
        <v>0</v>
      </c>
      <c r="D71" s="24">
        <f>COUNTIF('MOBAYE_Cleaned Data'!AOJ:AOJ,"mensuel")</f>
        <v>0</v>
      </c>
      <c r="E71" s="24">
        <f>COUNTIF('MOBAYE_Cleaned Data'!AOJ:AOJ,"trimestriel")</f>
        <v>1</v>
      </c>
      <c r="F71" s="24">
        <f>COUNTIF('MOBAYE_Cleaned Data'!AOJ:AOJ,"nsp")</f>
        <v>0</v>
      </c>
      <c r="G71" s="24">
        <f>COUNTIF('MOBAYE_Cleaned Data'!AOJ:AOJ,"autre")</f>
        <v>0</v>
      </c>
      <c r="H71" s="25">
        <f>SUM(C71:G71)</f>
        <v>1</v>
      </c>
    </row>
    <row r="72" spans="1:9" ht="37.5" x14ac:dyDescent="0.3">
      <c r="B72" s="121" t="s">
        <v>3319</v>
      </c>
      <c r="C72" s="39">
        <f>C71/$E$7</f>
        <v>0</v>
      </c>
      <c r="D72" s="39">
        <f t="shared" ref="D72:G72" si="5">D71/$E$7</f>
        <v>0</v>
      </c>
      <c r="E72" s="39">
        <f t="shared" si="5"/>
        <v>1</v>
      </c>
      <c r="F72" s="39">
        <f t="shared" si="5"/>
        <v>0</v>
      </c>
      <c r="G72" s="39">
        <f t="shared" si="5"/>
        <v>0</v>
      </c>
      <c r="H72" s="128">
        <f>SUM(C72:G72)</f>
        <v>1</v>
      </c>
    </row>
    <row r="73" spans="1:9" x14ac:dyDescent="0.3">
      <c r="B73" s="130"/>
      <c r="C73" s="15"/>
      <c r="D73" s="15"/>
      <c r="E73" s="15"/>
      <c r="F73" s="15"/>
      <c r="G73" s="74"/>
      <c r="H73" s="129"/>
    </row>
    <row r="74" spans="1:9" x14ac:dyDescent="0.3">
      <c r="F74" s="74"/>
    </row>
    <row r="75" spans="1:9" ht="15.5" x14ac:dyDescent="0.35">
      <c r="A75" s="29" t="s">
        <v>3324</v>
      </c>
      <c r="C75" s="103" t="s">
        <v>3245</v>
      </c>
    </row>
    <row r="76" spans="1:9" ht="70" x14ac:dyDescent="0.3">
      <c r="A76" s="24"/>
      <c r="B76" s="35" t="s">
        <v>1355</v>
      </c>
      <c r="C76" s="35" t="s">
        <v>1356</v>
      </c>
      <c r="D76" s="35" t="s">
        <v>1352</v>
      </c>
      <c r="E76" s="35" t="s">
        <v>1353</v>
      </c>
      <c r="F76" s="35" t="s">
        <v>1354</v>
      </c>
      <c r="G76" s="35" t="s">
        <v>1357</v>
      </c>
      <c r="H76" s="35" t="s">
        <v>1905</v>
      </c>
      <c r="I76" s="35" t="s">
        <v>1220</v>
      </c>
    </row>
    <row r="77" spans="1:9" x14ac:dyDescent="0.3">
      <c r="A77" s="24" t="s">
        <v>1207</v>
      </c>
      <c r="B77" s="24">
        <f>COUNTIF('MOBAYE_Cleaned Data'!AOP:AOP,"1")</f>
        <v>1</v>
      </c>
      <c r="C77" s="24">
        <f>COUNTIF('MOBAYE_Cleaned Data'!AOQ:AOQ,"1")</f>
        <v>0</v>
      </c>
      <c r="D77" s="24">
        <f>COUNTIF('MOBAYE_Cleaned Data'!AOR:AOR,"1")</f>
        <v>0</v>
      </c>
      <c r="E77" s="24">
        <f>COUNTIF('MOBAYE_Cleaned Data'!AOS:AOS,"1")</f>
        <v>0</v>
      </c>
      <c r="F77" s="24">
        <f>COUNTIF('MOBAYE_Cleaned Data'!AOT:AOT,"1")</f>
        <v>0</v>
      </c>
      <c r="G77" s="24">
        <f>COUNTIF('MOBAYE_Cleaned Data'!AOU:AOU,"1")</f>
        <v>0</v>
      </c>
      <c r="H77" s="24">
        <f>COUNTIF('MOBAYE_Cleaned Data'!AOV:AOV,"1")</f>
        <v>0</v>
      </c>
      <c r="I77" s="24">
        <f>COUNTIF('MOBAYE_Cleaned Data'!AOW:AOW,"1")</f>
        <v>0</v>
      </c>
    </row>
    <row r="78" spans="1:9" ht="26" x14ac:dyDescent="0.3">
      <c r="A78" s="121" t="s">
        <v>3319</v>
      </c>
      <c r="B78" s="39">
        <f>B77/$E$7</f>
        <v>1</v>
      </c>
      <c r="C78" s="39">
        <f t="shared" ref="C78:I78" si="6">C77/$E$7</f>
        <v>0</v>
      </c>
      <c r="D78" s="39">
        <f t="shared" si="6"/>
        <v>0</v>
      </c>
      <c r="E78" s="39">
        <f t="shared" si="6"/>
        <v>0</v>
      </c>
      <c r="F78" s="39">
        <f t="shared" si="6"/>
        <v>0</v>
      </c>
      <c r="G78" s="39">
        <f t="shared" si="6"/>
        <v>0</v>
      </c>
      <c r="H78" s="39">
        <f t="shared" si="6"/>
        <v>0</v>
      </c>
      <c r="I78" s="39">
        <f t="shared" si="6"/>
        <v>0</v>
      </c>
    </row>
    <row r="79" spans="1:9" x14ac:dyDescent="0.3">
      <c r="A79" s="130"/>
    </row>
    <row r="80" spans="1:9" x14ac:dyDescent="0.3">
      <c r="B80" s="18" t="s">
        <v>1358</v>
      </c>
    </row>
    <row r="81" spans="1:9" ht="42" x14ac:dyDescent="0.3">
      <c r="B81" s="24"/>
      <c r="C81" s="40" t="s">
        <v>1359</v>
      </c>
      <c r="D81" s="40" t="s">
        <v>1360</v>
      </c>
      <c r="E81" s="40" t="s">
        <v>1361</v>
      </c>
      <c r="F81" s="40" t="s">
        <v>1362</v>
      </c>
      <c r="G81" s="40" t="s">
        <v>1905</v>
      </c>
      <c r="H81" s="40" t="s">
        <v>1220</v>
      </c>
      <c r="I81" s="127" t="s">
        <v>1206</v>
      </c>
    </row>
    <row r="82" spans="1:9" x14ac:dyDescent="0.3">
      <c r="B82" s="24" t="s">
        <v>1207</v>
      </c>
      <c r="C82" s="24">
        <f>COUNTIF('MOBAYE_Cleaned Data'!APA:APA,"local")</f>
        <v>1</v>
      </c>
      <c r="D82" s="24">
        <f>COUNTIF('MOBAYE_Cleaned Data'!APA:APA,"proche")</f>
        <v>0</v>
      </c>
      <c r="E82" s="24">
        <f>COUNTIF('MOBAYE_Cleaned Data'!APA:APA,"bangui")</f>
        <v>0</v>
      </c>
      <c r="F82" s="24">
        <f>COUNTIF('MOBAYE_Cleaned Data'!APA:APA,"exterieur")</f>
        <v>0</v>
      </c>
      <c r="G82" s="24">
        <f>COUNTIF('MOBAYE_Cleaned Data'!APA:APA,"nsp")</f>
        <v>0</v>
      </c>
      <c r="H82" s="24">
        <f>COUNTIF('MOBAYE_Cleaned Data'!APA:APA,"autre")</f>
        <v>0</v>
      </c>
      <c r="I82" s="25">
        <f>SUM(C82:H82)</f>
        <v>1</v>
      </c>
    </row>
    <row r="83" spans="1:9" ht="37.5" x14ac:dyDescent="0.3">
      <c r="B83" s="121" t="s">
        <v>3319</v>
      </c>
      <c r="C83" s="39">
        <f>C82/$E$7</f>
        <v>1</v>
      </c>
      <c r="D83" s="39">
        <f t="shared" ref="D83:H83" si="7">D82/$E$7</f>
        <v>0</v>
      </c>
      <c r="E83" s="39">
        <f t="shared" si="7"/>
        <v>0</v>
      </c>
      <c r="F83" s="39">
        <f t="shared" si="7"/>
        <v>0</v>
      </c>
      <c r="G83" s="39">
        <f t="shared" si="7"/>
        <v>0</v>
      </c>
      <c r="H83" s="39">
        <f t="shared" si="7"/>
        <v>0</v>
      </c>
      <c r="I83" s="128">
        <f>SUM(C83:H83)</f>
        <v>1</v>
      </c>
    </row>
    <row r="84" spans="1:9" x14ac:dyDescent="0.3">
      <c r="H84" s="129"/>
    </row>
    <row r="85" spans="1:9" x14ac:dyDescent="0.3">
      <c r="B85" s="18" t="s">
        <v>2000</v>
      </c>
    </row>
    <row r="86" spans="1:9" ht="28" x14ac:dyDescent="0.3">
      <c r="B86" s="24"/>
      <c r="C86" s="40" t="s">
        <v>2001</v>
      </c>
      <c r="D86" s="40" t="s">
        <v>2002</v>
      </c>
      <c r="E86" s="40" t="s">
        <v>2003</v>
      </c>
      <c r="F86" s="40" t="s">
        <v>1905</v>
      </c>
      <c r="G86" s="40" t="s">
        <v>1220</v>
      </c>
      <c r="H86" s="127" t="s">
        <v>1206</v>
      </c>
    </row>
    <row r="87" spans="1:9" x14ac:dyDescent="0.3">
      <c r="B87" s="24" t="s">
        <v>1207</v>
      </c>
      <c r="C87" s="24">
        <f>COUNTIF('MOBAYE_Cleaned Data'!AOY:AOY,"hebdo")</f>
        <v>0</v>
      </c>
      <c r="D87" s="24">
        <f>COUNTIF('MOBAYE_Cleaned Data'!AOY:AOY,"mensuel")</f>
        <v>0</v>
      </c>
      <c r="E87" s="24">
        <f>COUNTIF('MOBAYE_Cleaned Data'!AOY:AOY,"trimestriel")</f>
        <v>1</v>
      </c>
      <c r="F87" s="24">
        <f>COUNTIF('MOBAYE_Cleaned Data'!AOY:AOY,"nsp")</f>
        <v>0</v>
      </c>
      <c r="G87" s="24">
        <f>COUNTIF('MOBAYE_Cleaned Data'!AOY:AOY,"autre")</f>
        <v>0</v>
      </c>
      <c r="H87" s="25">
        <f>SUM(C87:G87)</f>
        <v>1</v>
      </c>
    </row>
    <row r="88" spans="1:9" ht="37.5" x14ac:dyDescent="0.3">
      <c r="B88" s="121" t="s">
        <v>3319</v>
      </c>
      <c r="C88" s="39">
        <f>C87/$E$7</f>
        <v>0</v>
      </c>
      <c r="D88" s="39">
        <f t="shared" ref="D88:G88" si="8">D87/$E$7</f>
        <v>0</v>
      </c>
      <c r="E88" s="39">
        <f t="shared" si="8"/>
        <v>1</v>
      </c>
      <c r="F88" s="39">
        <f t="shared" si="8"/>
        <v>0</v>
      </c>
      <c r="G88" s="39">
        <f t="shared" si="8"/>
        <v>0</v>
      </c>
      <c r="H88" s="128">
        <f>SUM(C88:G88)</f>
        <v>1</v>
      </c>
    </row>
    <row r="89" spans="1:9" x14ac:dyDescent="0.3">
      <c r="F89" s="74"/>
      <c r="G89" s="74"/>
    </row>
    <row r="90" spans="1:9" ht="15.5" x14ac:dyDescent="0.35">
      <c r="A90" s="9" t="s">
        <v>1363</v>
      </c>
    </row>
    <row r="91" spans="1:9" x14ac:dyDescent="0.3">
      <c r="A91" s="18" t="s">
        <v>2005</v>
      </c>
    </row>
    <row r="92" spans="1:9" x14ac:dyDescent="0.3">
      <c r="A92" s="24"/>
      <c r="B92" s="8" t="s">
        <v>1210</v>
      </c>
      <c r="C92" s="8" t="s">
        <v>1209</v>
      </c>
      <c r="D92" s="127" t="s">
        <v>1206</v>
      </c>
    </row>
    <row r="93" spans="1:9" x14ac:dyDescent="0.3">
      <c r="A93" s="24" t="s">
        <v>1207</v>
      </c>
      <c r="B93" s="24">
        <f>COUNTIF('MOBAYE_Cleaned Data'!APF:APF,"oui")</f>
        <v>0</v>
      </c>
      <c r="C93" s="24">
        <f>COUNTIF('MOBAYE_Cleaned Data'!APF:APF,"non")</f>
        <v>0</v>
      </c>
      <c r="D93" s="25">
        <f>SUM(B93:C93)</f>
        <v>0</v>
      </c>
    </row>
    <row r="94" spans="1:9" ht="26" x14ac:dyDescent="0.3">
      <c r="A94" s="121" t="s">
        <v>3319</v>
      </c>
      <c r="B94" s="39">
        <f>(B93/$E$7)</f>
        <v>0</v>
      </c>
      <c r="C94" s="39">
        <f>(C93/$E$7)</f>
        <v>0</v>
      </c>
      <c r="D94" s="128">
        <f>SUM(B94:C94)</f>
        <v>0</v>
      </c>
    </row>
    <row r="96" spans="1:9" x14ac:dyDescent="0.3">
      <c r="B96" s="18" t="s">
        <v>2006</v>
      </c>
    </row>
    <row r="97" spans="1:9" ht="28" x14ac:dyDescent="0.3">
      <c r="B97" s="24"/>
      <c r="C97" s="11" t="s">
        <v>1307</v>
      </c>
      <c r="D97" s="11" t="s">
        <v>1308</v>
      </c>
      <c r="E97" s="11" t="s">
        <v>1309</v>
      </c>
      <c r="F97" s="11" t="s">
        <v>1225</v>
      </c>
      <c r="G97" s="127" t="s">
        <v>1206</v>
      </c>
    </row>
    <row r="98" spans="1:9" x14ac:dyDescent="0.3">
      <c r="B98" s="24" t="s">
        <v>1207</v>
      </c>
      <c r="C98" s="24">
        <f>COUNTIF('MOBAYE_Cleaned Data'!APG:APG,"peu_diminue")</f>
        <v>0</v>
      </c>
      <c r="D98" s="24">
        <f>COUNTIF('MOBAYE_Cleaned Data'!APG:APG,"bcp_diminue")</f>
        <v>0</v>
      </c>
      <c r="E98" s="24">
        <f>COUNTIF('MOBAYE_Cleaned Data'!APG:APG,"peu_augmente")</f>
        <v>0</v>
      </c>
      <c r="F98" s="24">
        <f>COUNTIF('MOBAYE_Cleaned Data'!APG:APG,"bcp_augmente")</f>
        <v>0</v>
      </c>
      <c r="G98" s="25">
        <f>SUM(C98:F98)</f>
        <v>0</v>
      </c>
    </row>
    <row r="99" spans="1:9" ht="37.5" x14ac:dyDescent="0.3">
      <c r="B99" s="121" t="s">
        <v>3325</v>
      </c>
      <c r="C99" s="39" t="e">
        <f>C98/$B$93</f>
        <v>#DIV/0!</v>
      </c>
      <c r="D99" s="39" t="e">
        <f t="shared" ref="D99:F99" si="9">D98/$B$93</f>
        <v>#DIV/0!</v>
      </c>
      <c r="E99" s="39" t="e">
        <f t="shared" si="9"/>
        <v>#DIV/0!</v>
      </c>
      <c r="F99" s="39" t="e">
        <f t="shared" si="9"/>
        <v>#DIV/0!</v>
      </c>
      <c r="G99" s="128" t="e">
        <f>SUM(C99:F99)</f>
        <v>#DIV/0!</v>
      </c>
    </row>
    <row r="100" spans="1:9" x14ac:dyDescent="0.3">
      <c r="B100" s="14"/>
    </row>
    <row r="101" spans="1:9" x14ac:dyDescent="0.3">
      <c r="B101" s="18" t="s">
        <v>1310</v>
      </c>
      <c r="D101" s="103" t="s">
        <v>3245</v>
      </c>
    </row>
    <row r="102" spans="1:9" ht="70" x14ac:dyDescent="0.3">
      <c r="B102" s="24"/>
      <c r="C102" s="11" t="s">
        <v>1315</v>
      </c>
      <c r="D102" s="11" t="s">
        <v>1364</v>
      </c>
      <c r="E102" s="11" t="s">
        <v>1365</v>
      </c>
      <c r="F102" s="11" t="s">
        <v>1366</v>
      </c>
      <c r="G102" s="11" t="s">
        <v>1367</v>
      </c>
      <c r="H102" s="11" t="s">
        <v>1905</v>
      </c>
      <c r="I102" s="11" t="s">
        <v>1220</v>
      </c>
    </row>
    <row r="103" spans="1:9" x14ac:dyDescent="0.3">
      <c r="B103" s="24" t="s">
        <v>1207</v>
      </c>
      <c r="C103" s="24">
        <f>COUNTIF('MOBAYE_Cleaned Data'!APR:APR,"1")</f>
        <v>0</v>
      </c>
      <c r="D103" s="24">
        <f>COUNTIF('MOBAYE_Cleaned Data'!APS:APS,"1")</f>
        <v>0</v>
      </c>
      <c r="E103" s="24">
        <f>COUNTIF('MOBAYE_Cleaned Data'!APT:APT,"1")</f>
        <v>0</v>
      </c>
      <c r="F103" s="24">
        <f>COUNTIF('MOBAYE_Cleaned Data'!APU:APU,"1")</f>
        <v>0</v>
      </c>
      <c r="G103" s="24">
        <f>COUNTIF('MOBAYE_Cleaned Data'!APV:APV,"1")</f>
        <v>0</v>
      </c>
      <c r="H103" s="24">
        <f>COUNTIF('MOBAYE_Cleaned Data'!APW:APW,"1")</f>
        <v>0</v>
      </c>
      <c r="I103" s="24">
        <f>COUNTIF('MOBAYE_Cleaned Data'!APX:APX,"1")</f>
        <v>0</v>
      </c>
    </row>
    <row r="104" spans="1:9" ht="42" customHeight="1" x14ac:dyDescent="0.3">
      <c r="B104" s="121" t="s">
        <v>3326</v>
      </c>
      <c r="C104" s="39" t="e">
        <f>D103/($C$98+$D$98)</f>
        <v>#DIV/0!</v>
      </c>
      <c r="D104" s="39" t="e">
        <f t="shared" ref="D104:I104" si="10">E103/($C$98+$D$98)</f>
        <v>#DIV/0!</v>
      </c>
      <c r="E104" s="39" t="e">
        <f t="shared" si="10"/>
        <v>#DIV/0!</v>
      </c>
      <c r="F104" s="39" t="e">
        <f t="shared" si="10"/>
        <v>#DIV/0!</v>
      </c>
      <c r="G104" s="39" t="e">
        <f t="shared" si="10"/>
        <v>#DIV/0!</v>
      </c>
      <c r="H104" s="39" t="e">
        <f t="shared" si="10"/>
        <v>#DIV/0!</v>
      </c>
      <c r="I104" s="39" t="e">
        <f t="shared" si="10"/>
        <v>#DIV/0!</v>
      </c>
    </row>
    <row r="106" spans="1:9" x14ac:dyDescent="0.3">
      <c r="B106" s="18" t="s">
        <v>1227</v>
      </c>
      <c r="D106" s="103" t="s">
        <v>3245</v>
      </c>
    </row>
    <row r="107" spans="1:9" ht="56" x14ac:dyDescent="0.3">
      <c r="B107" s="24"/>
      <c r="C107" s="11" t="s">
        <v>1311</v>
      </c>
      <c r="D107" s="11" t="s">
        <v>1312</v>
      </c>
      <c r="E107" s="11" t="s">
        <v>2324</v>
      </c>
      <c r="F107" s="11" t="s">
        <v>2325</v>
      </c>
      <c r="G107" s="11" t="s">
        <v>2326</v>
      </c>
      <c r="H107" s="11" t="s">
        <v>1905</v>
      </c>
      <c r="I107" s="11" t="s">
        <v>1205</v>
      </c>
    </row>
    <row r="108" spans="1:9" x14ac:dyDescent="0.3">
      <c r="B108" s="24" t="s">
        <v>1207</v>
      </c>
      <c r="C108" s="24">
        <f>COUNTIF('MOBAYE_Cleaned Data'!API:API,"1")</f>
        <v>0</v>
      </c>
      <c r="D108" s="24">
        <f>COUNTIF('MOBAYE_Cleaned Data'!APJ:APJ,"1")</f>
        <v>0</v>
      </c>
      <c r="E108" s="24">
        <f>COUNTIF('MOBAYE_Cleaned Data'!APK:APK,"1")</f>
        <v>0</v>
      </c>
      <c r="F108" s="24">
        <f>COUNTIF('MOBAYE_Cleaned Data'!APL:APL,"1")</f>
        <v>0</v>
      </c>
      <c r="G108" s="24">
        <f>COUNTIF('MOBAYE_Cleaned Data'!APM:APM,"1")</f>
        <v>0</v>
      </c>
      <c r="H108" s="24">
        <f>COUNTIF('MOBAYE_Cleaned Data'!APN:APN,"1")</f>
        <v>0</v>
      </c>
      <c r="I108" s="24">
        <f>COUNTIF('MOBAYE_Cleaned Data'!APO:APO,"1")</f>
        <v>0</v>
      </c>
    </row>
    <row r="109" spans="1:9" ht="49" x14ac:dyDescent="0.3">
      <c r="B109" s="121" t="s">
        <v>3327</v>
      </c>
      <c r="C109" s="39" t="e">
        <f>C108/($E$98+$F$98)</f>
        <v>#DIV/0!</v>
      </c>
      <c r="D109" s="39" t="e">
        <f t="shared" ref="D109:I109" si="11">D108/($E$98+$F$98)</f>
        <v>#DIV/0!</v>
      </c>
      <c r="E109" s="39" t="e">
        <f t="shared" si="11"/>
        <v>#DIV/0!</v>
      </c>
      <c r="F109" s="39" t="e">
        <f t="shared" si="11"/>
        <v>#DIV/0!</v>
      </c>
      <c r="G109" s="39" t="e">
        <f t="shared" si="11"/>
        <v>#DIV/0!</v>
      </c>
      <c r="H109" s="39" t="e">
        <f t="shared" si="11"/>
        <v>#DIV/0!</v>
      </c>
      <c r="I109" s="39" t="e">
        <f t="shared" si="11"/>
        <v>#DIV/0!</v>
      </c>
    </row>
    <row r="110" spans="1:9" x14ac:dyDescent="0.3">
      <c r="B110" s="14"/>
      <c r="C110" s="15"/>
      <c r="D110" s="15"/>
      <c r="E110" s="15"/>
      <c r="F110" s="15"/>
      <c r="G110" s="15"/>
      <c r="H110" s="15"/>
      <c r="I110" s="15"/>
    </row>
    <row r="111" spans="1:9" ht="15.5" x14ac:dyDescent="0.35">
      <c r="A111" s="9" t="s">
        <v>1368</v>
      </c>
    </row>
    <row r="112" spans="1:9" x14ac:dyDescent="0.3">
      <c r="A112" s="18" t="s">
        <v>2007</v>
      </c>
      <c r="B112" s="103" t="s">
        <v>3245</v>
      </c>
    </row>
    <row r="113" spans="1:8" s="36" customFormat="1" ht="42" x14ac:dyDescent="0.35">
      <c r="A113" s="75"/>
      <c r="B113" s="35" t="s">
        <v>2008</v>
      </c>
      <c r="C113" s="35" t="s">
        <v>2009</v>
      </c>
      <c r="D113" s="35" t="s">
        <v>2010</v>
      </c>
      <c r="E113" s="35" t="s">
        <v>2011</v>
      </c>
      <c r="F113" s="35" t="s">
        <v>3259</v>
      </c>
      <c r="G113" s="35" t="s">
        <v>1205</v>
      </c>
    </row>
    <row r="114" spans="1:8" x14ac:dyDescent="0.3">
      <c r="A114" s="24" t="s">
        <v>1207</v>
      </c>
      <c r="B114" s="24">
        <f>COUNTIF('MOBAYE_Cleaned Data'!AQA:AQA,"1")</f>
        <v>1</v>
      </c>
      <c r="C114" s="24">
        <f>COUNTIF('MOBAYE_Cleaned Data'!AQB:AQB,"1")</f>
        <v>1</v>
      </c>
      <c r="D114" s="24">
        <f>COUNTIF('MOBAYE_Cleaned Data'!AQC:AQC,"1")</f>
        <v>0</v>
      </c>
      <c r="E114" s="24">
        <f>COUNTIF('MOBAYE_Cleaned Data'!AQD:AQD,"1")</f>
        <v>0</v>
      </c>
      <c r="F114" s="24">
        <f>COUNTIF('MOBAYE_Cleaned Data'!AQE:AQE,"1")</f>
        <v>0</v>
      </c>
      <c r="G114" s="24">
        <f>COUNTIF('MOBAYE_Cleaned Data'!AQF:AQF,"1")</f>
        <v>0</v>
      </c>
    </row>
    <row r="115" spans="1:8" ht="26" x14ac:dyDescent="0.3">
      <c r="A115" s="121" t="s">
        <v>3319</v>
      </c>
      <c r="B115" s="39">
        <f>(B114/$E$7)</f>
        <v>1</v>
      </c>
      <c r="C115" s="39">
        <f t="shared" ref="C115:G115" si="12">(C114/$E$7)</f>
        <v>1</v>
      </c>
      <c r="D115" s="39">
        <f t="shared" si="12"/>
        <v>0</v>
      </c>
      <c r="E115" s="39">
        <f t="shared" si="12"/>
        <v>0</v>
      </c>
      <c r="F115" s="39">
        <f t="shared" si="12"/>
        <v>0</v>
      </c>
      <c r="G115" s="39">
        <f t="shared" si="12"/>
        <v>0</v>
      </c>
    </row>
    <row r="116" spans="1:8" x14ac:dyDescent="0.3">
      <c r="C116" s="74" t="s">
        <v>2964</v>
      </c>
      <c r="G116" s="74"/>
    </row>
    <row r="117" spans="1:8" x14ac:dyDescent="0.3">
      <c r="B117" s="74"/>
    </row>
    <row r="118" spans="1:8" x14ac:dyDescent="0.3">
      <c r="B118" s="18" t="s">
        <v>2012</v>
      </c>
    </row>
    <row r="119" spans="1:8" x14ac:dyDescent="0.3">
      <c r="B119" s="21">
        <f>AVERAGE('MOBAYE_Cleaned Data'!AQN:AQN)</f>
        <v>1000</v>
      </c>
      <c r="C119" s="21" t="s">
        <v>3085</v>
      </c>
      <c r="D119" s="74"/>
    </row>
    <row r="121" spans="1:8" x14ac:dyDescent="0.3">
      <c r="B121" s="18" t="s">
        <v>2016</v>
      </c>
    </row>
    <row r="122" spans="1:8" x14ac:dyDescent="0.3">
      <c r="B122" s="19">
        <f>AVERAGE('MOBAYE_Cleaned Data'!AQI:AQI)</f>
        <v>2000</v>
      </c>
      <c r="C122" s="21" t="s">
        <v>3388</v>
      </c>
      <c r="E122" s="74" t="s">
        <v>3086</v>
      </c>
    </row>
    <row r="124" spans="1:8" x14ac:dyDescent="0.3">
      <c r="A124" s="14"/>
      <c r="B124" s="15"/>
      <c r="C124" s="15"/>
    </row>
    <row r="125" spans="1:8" ht="15.5" x14ac:dyDescent="0.35">
      <c r="A125" s="9" t="s">
        <v>1293</v>
      </c>
    </row>
    <row r="126" spans="1:8" x14ac:dyDescent="0.3">
      <c r="A126" s="18" t="s">
        <v>1370</v>
      </c>
      <c r="C126" s="103" t="s">
        <v>3245</v>
      </c>
    </row>
    <row r="127" spans="1:8" s="36" customFormat="1" ht="58.5" customHeight="1" x14ac:dyDescent="0.3">
      <c r="A127" s="24"/>
      <c r="B127" s="35" t="s">
        <v>1369</v>
      </c>
      <c r="C127" s="35" t="s">
        <v>1374</v>
      </c>
      <c r="D127" s="35" t="s">
        <v>1371</v>
      </c>
      <c r="E127" s="35" t="s">
        <v>1372</v>
      </c>
      <c r="F127" s="35" t="s">
        <v>1373</v>
      </c>
      <c r="G127" s="35" t="s">
        <v>3259</v>
      </c>
      <c r="H127" s="35" t="s">
        <v>1220</v>
      </c>
    </row>
    <row r="128" spans="1:8" x14ac:dyDescent="0.3">
      <c r="A128" s="24" t="s">
        <v>1207</v>
      </c>
      <c r="B128" s="24">
        <f>COUNTIF('MOBAYE_Cleaned Data'!ARV:ARV,"1")</f>
        <v>1</v>
      </c>
      <c r="C128" s="24">
        <f>COUNTIF('MOBAYE_Cleaned Data'!ARW:ARW,"1")</f>
        <v>0</v>
      </c>
      <c r="D128" s="24">
        <f>COUNTIF('MOBAYE_Cleaned Data'!ARX:ARX,"1")</f>
        <v>0</v>
      </c>
      <c r="E128" s="24">
        <f>COUNTIF('MOBAYE_Cleaned Data'!ARY:ARY,"1")</f>
        <v>0</v>
      </c>
      <c r="F128" s="24">
        <f>COUNTIF('MOBAYE_Cleaned Data'!ARZ:ARZ,"1")</f>
        <v>0</v>
      </c>
      <c r="G128" s="24">
        <f>COUNTIF('MOBAYE_Cleaned Data'!ASA:ASA,"1")</f>
        <v>0</v>
      </c>
      <c r="H128" s="24">
        <f>COUNTIF('MOBAYE_Cleaned Data'!ASB:ASB,"1")</f>
        <v>0</v>
      </c>
    </row>
    <row r="129" spans="1:16" ht="26" x14ac:dyDescent="0.3">
      <c r="A129" s="121" t="s">
        <v>3316</v>
      </c>
      <c r="B129" s="39">
        <f>B128/$B$3</f>
        <v>1</v>
      </c>
      <c r="C129" s="39">
        <f t="shared" ref="C129:H129" si="13">C128/$B$3</f>
        <v>0</v>
      </c>
      <c r="D129" s="39">
        <f t="shared" si="13"/>
        <v>0</v>
      </c>
      <c r="E129" s="39">
        <f t="shared" si="13"/>
        <v>0</v>
      </c>
      <c r="F129" s="39">
        <f t="shared" si="13"/>
        <v>0</v>
      </c>
      <c r="G129" s="39">
        <f t="shared" si="13"/>
        <v>0</v>
      </c>
      <c r="H129" s="39">
        <f t="shared" si="13"/>
        <v>0</v>
      </c>
    </row>
    <row r="130" spans="1:16" x14ac:dyDescent="0.3">
      <c r="A130" s="14"/>
      <c r="H130" s="74"/>
    </row>
    <row r="131" spans="1:16" x14ac:dyDescent="0.3">
      <c r="A131" s="18" t="s">
        <v>1375</v>
      </c>
    </row>
    <row r="132" spans="1:16" x14ac:dyDescent="0.3">
      <c r="A132" s="24"/>
      <c r="B132" s="8" t="s">
        <v>1210</v>
      </c>
      <c r="C132" s="8" t="s">
        <v>1209</v>
      </c>
      <c r="D132" s="127" t="s">
        <v>1206</v>
      </c>
    </row>
    <row r="133" spans="1:16" x14ac:dyDescent="0.3">
      <c r="A133" s="24" t="s">
        <v>1207</v>
      </c>
      <c r="B133" s="24">
        <f>COUNTIF('MOBAYE_Cleaned Data'!ASD:ASD,"oui")</f>
        <v>1</v>
      </c>
      <c r="C133" s="24">
        <f>COUNTIF('MOBAYE_Cleaned Data'!ASD:ASD,"non")</f>
        <v>0</v>
      </c>
      <c r="D133" s="25">
        <f>SUM(B133:C133)</f>
        <v>1</v>
      </c>
    </row>
    <row r="134" spans="1:16" ht="26" x14ac:dyDescent="0.3">
      <c r="A134" s="121" t="s">
        <v>3319</v>
      </c>
      <c r="B134" s="39">
        <f>(B133/$E$7)</f>
        <v>1</v>
      </c>
      <c r="C134" s="39">
        <f>(C133/$E$7)</f>
        <v>0</v>
      </c>
      <c r="D134" s="128">
        <f>SUM(B134:C134)</f>
        <v>1</v>
      </c>
    </row>
    <row r="136" spans="1:16" x14ac:dyDescent="0.3">
      <c r="A136" s="18" t="s">
        <v>1331</v>
      </c>
      <c r="C136" s="103" t="s">
        <v>3245</v>
      </c>
    </row>
    <row r="137" spans="1:16" x14ac:dyDescent="0.3">
      <c r="A137" s="24"/>
      <c r="B137" s="8" t="s">
        <v>1250</v>
      </c>
      <c r="C137" s="8" t="s">
        <v>1251</v>
      </c>
      <c r="D137" s="8" t="s">
        <v>1905</v>
      </c>
      <c r="E137" s="8" t="s">
        <v>1205</v>
      </c>
      <c r="F137" s="8" t="s">
        <v>1252</v>
      </c>
    </row>
    <row r="138" spans="1:16" x14ac:dyDescent="0.3">
      <c r="A138" s="24" t="s">
        <v>1207</v>
      </c>
      <c r="B138" s="3">
        <f>COUNTIF('MOBAYE_Cleaned Data'!ASO:ASO,"1")</f>
        <v>1</v>
      </c>
      <c r="C138" s="3">
        <f>COUNTIF('MOBAYE_Cleaned Data'!ASP:ASP,"1")</f>
        <v>0</v>
      </c>
      <c r="D138" s="3">
        <f>COUNTIF('MOBAYE_Cleaned Data'!ASQ:ASQ,"1")</f>
        <v>0</v>
      </c>
      <c r="E138" s="3">
        <f>COUNTIF('MOBAYE_Cleaned Data'!ASR:ASR,"1")</f>
        <v>0</v>
      </c>
      <c r="F138" s="3">
        <f>COUNTIF('MOBAYE_Cleaned Data'!ASS:ASS,"1")</f>
        <v>0</v>
      </c>
    </row>
    <row r="139" spans="1:16" ht="26" x14ac:dyDescent="0.3">
      <c r="A139" s="121" t="s">
        <v>3316</v>
      </c>
      <c r="B139" s="39">
        <f>B138/$B$3</f>
        <v>1</v>
      </c>
      <c r="C139" s="39">
        <f t="shared" ref="C139:F139" si="14">C138/$B$3</f>
        <v>0</v>
      </c>
      <c r="D139" s="39">
        <f t="shared" si="14"/>
        <v>0</v>
      </c>
      <c r="E139" s="39">
        <f t="shared" si="14"/>
        <v>0</v>
      </c>
      <c r="F139" s="39">
        <f t="shared" si="14"/>
        <v>0</v>
      </c>
    </row>
    <row r="140" spans="1:16" x14ac:dyDescent="0.3">
      <c r="A140" s="14"/>
    </row>
    <row r="141" spans="1:16" ht="15.5" x14ac:dyDescent="0.35">
      <c r="A141" s="29" t="s">
        <v>1299</v>
      </c>
      <c r="C141" s="103" t="s">
        <v>3245</v>
      </c>
    </row>
    <row r="142" spans="1:16" s="36" customFormat="1" ht="70" x14ac:dyDescent="0.35">
      <c r="A142" s="35" t="s">
        <v>1475</v>
      </c>
      <c r="B142" s="35" t="s">
        <v>2019</v>
      </c>
      <c r="C142" s="35" t="s">
        <v>1376</v>
      </c>
      <c r="D142" s="35" t="s">
        <v>2023</v>
      </c>
      <c r="E142" s="35" t="s">
        <v>2024</v>
      </c>
      <c r="F142" s="35" t="s">
        <v>2020</v>
      </c>
      <c r="G142" s="35" t="s">
        <v>1377</v>
      </c>
      <c r="H142" s="35" t="s">
        <v>1378</v>
      </c>
      <c r="I142" s="35" t="s">
        <v>1379</v>
      </c>
      <c r="J142" s="35" t="s">
        <v>2021</v>
      </c>
      <c r="K142" s="35" t="s">
        <v>2022</v>
      </c>
      <c r="L142" s="35" t="s">
        <v>1380</v>
      </c>
      <c r="M142" s="35" t="s">
        <v>2025</v>
      </c>
      <c r="N142" s="35" t="s">
        <v>1381</v>
      </c>
      <c r="O142" s="35" t="s">
        <v>1905</v>
      </c>
      <c r="P142" s="35" t="s">
        <v>1205</v>
      </c>
    </row>
    <row r="143" spans="1:16" x14ac:dyDescent="0.3">
      <c r="A143" s="3">
        <f>COUNTIF('MOBAYE_Cleaned Data'!ATK:ATK,"1")</f>
        <v>1</v>
      </c>
      <c r="B143" s="3">
        <f>COUNTIF('MOBAYE_Cleaned Data'!ATL:ATL,"1")</f>
        <v>0</v>
      </c>
      <c r="C143" s="3">
        <f>COUNTIF('MOBAYE_Cleaned Data'!ATM:ATM,"1")</f>
        <v>1</v>
      </c>
      <c r="D143" s="3">
        <f>COUNTIF('MOBAYE_Cleaned Data'!ATN:ATN,"1")</f>
        <v>0</v>
      </c>
      <c r="E143" s="3">
        <f>COUNTIF('MOBAYE_Cleaned Data'!ATO:ATO,"1")</f>
        <v>0</v>
      </c>
      <c r="F143" s="3">
        <f>COUNTIF('MOBAYE_Cleaned Data'!ATX:ATX,"1")</f>
        <v>1</v>
      </c>
      <c r="G143" s="3">
        <f>COUNTIF('MOBAYE_Cleaned Data'!ATP:ATP,"1")</f>
        <v>0</v>
      </c>
      <c r="H143" s="3">
        <f>COUNTIF('MOBAYE_Cleaned Data'!ATQ:ATQ,"1")</f>
        <v>0</v>
      </c>
      <c r="I143" s="3">
        <f>COUNTIF('MOBAYE_Cleaned Data'!ATR:ATR,"1")</f>
        <v>0</v>
      </c>
      <c r="J143" s="3">
        <f>COUNTIF('MOBAYE_Cleaned Data'!ATS:ATS,"1")</f>
        <v>0</v>
      </c>
      <c r="K143" s="3">
        <f>COUNTIF('MOBAYE_Cleaned Data'!ATU:ATU,"1")</f>
        <v>0</v>
      </c>
      <c r="L143" s="3">
        <f>COUNTIF('MOBAYE_Cleaned Data'!ATV:ATV,"1")</f>
        <v>0</v>
      </c>
      <c r="M143" s="3">
        <f>COUNTIF('MOBAYE_Cleaned Data'!ATW:ATW,"1")</f>
        <v>0</v>
      </c>
      <c r="N143" s="3">
        <f>COUNTIF('MOBAYE_Cleaned Data'!ATY:ATY,"1")</f>
        <v>0</v>
      </c>
      <c r="O143" s="3">
        <f>COUNTIF('MOBAYE_Cleaned Data'!ATZ:ATZ,"1")</f>
        <v>0</v>
      </c>
      <c r="P143" s="3">
        <f>COUNTIF('MOBAYE_Cleaned Data'!AUA:AUA,"1")</f>
        <v>0</v>
      </c>
    </row>
    <row r="144" spans="1:16" x14ac:dyDescent="0.3">
      <c r="A144" s="14"/>
      <c r="B144" s="14"/>
      <c r="C144" s="14"/>
      <c r="D144" s="14"/>
      <c r="E144" s="14"/>
      <c r="F144" s="14"/>
      <c r="G144" s="14"/>
      <c r="H144" s="14"/>
      <c r="I144" s="14"/>
      <c r="J144" s="14"/>
      <c r="K144" s="14"/>
      <c r="L144" s="14"/>
      <c r="M144" s="14"/>
      <c r="N144" s="14"/>
      <c r="O144" s="14"/>
      <c r="P144" s="76"/>
    </row>
    <row r="145" spans="1:13" ht="15.5" x14ac:dyDescent="0.35">
      <c r="A145" s="29" t="s">
        <v>1300</v>
      </c>
      <c r="C145" s="103" t="s">
        <v>3245</v>
      </c>
    </row>
    <row r="146" spans="1:13" ht="28" x14ac:dyDescent="0.3">
      <c r="A146" s="8" t="s">
        <v>1236</v>
      </c>
      <c r="B146" s="8" t="s">
        <v>1256</v>
      </c>
      <c r="C146" s="8" t="s">
        <v>1257</v>
      </c>
      <c r="D146" s="8" t="s">
        <v>1239</v>
      </c>
      <c r="E146" s="8" t="s">
        <v>1240</v>
      </c>
      <c r="F146" s="8" t="s">
        <v>1258</v>
      </c>
      <c r="G146" s="8" t="s">
        <v>1259</v>
      </c>
      <c r="H146" s="8" t="s">
        <v>1260</v>
      </c>
      <c r="I146" s="8" t="s">
        <v>1261</v>
      </c>
      <c r="J146" s="8" t="s">
        <v>1252</v>
      </c>
      <c r="K146" s="8" t="s">
        <v>3259</v>
      </c>
      <c r="L146" s="8" t="s">
        <v>1220</v>
      </c>
    </row>
    <row r="147" spans="1:13" x14ac:dyDescent="0.3">
      <c r="A147" s="24">
        <f>COUNTIF('MOBAYE_Cleaned Data'!ASV:ASV,"1")</f>
        <v>1</v>
      </c>
      <c r="B147" s="24">
        <f>COUNTIF('MOBAYE_Cleaned Data'!ASW:ASW,"1")</f>
        <v>0</v>
      </c>
      <c r="C147" s="24">
        <f>COUNTIF('MOBAYE_Cleaned Data'!ASX:ASX,"1")</f>
        <v>0</v>
      </c>
      <c r="D147" s="24">
        <f>COUNTIF('MOBAYE_Cleaned Data'!ASY:ASY,"1")</f>
        <v>0</v>
      </c>
      <c r="E147" s="24">
        <f>COUNTIF('MOBAYE_Cleaned Data'!ASZ:ASZ,"1")</f>
        <v>0</v>
      </c>
      <c r="F147" s="24">
        <f>COUNTIF('MOBAYE_Cleaned Data'!ATA:ATA,"1")</f>
        <v>0</v>
      </c>
      <c r="G147" s="24">
        <f>COUNTIF('MOBAYE_Cleaned Data'!ATB:ATB,"1")</f>
        <v>0</v>
      </c>
      <c r="H147" s="24">
        <f>COUNTIF('MOBAYE_Cleaned Data'!ATC:ATC,"1")</f>
        <v>0</v>
      </c>
      <c r="I147" s="24">
        <f>COUNTIF('MOBAYE_Cleaned Data'!ATD:ATD,"1")</f>
        <v>0</v>
      </c>
      <c r="J147" s="24">
        <f>COUNTIF('MOBAYE_Cleaned Data'!ATE:ATE,"1")</f>
        <v>0</v>
      </c>
      <c r="K147" s="24">
        <f>COUNTIF('MOBAYE_Cleaned Data'!ATF:ATF,"1")</f>
        <v>0</v>
      </c>
      <c r="L147" s="24">
        <f>COUNTIF('MOBAYE_Cleaned Data'!ATG:ATG,"1")</f>
        <v>0</v>
      </c>
    </row>
    <row r="149" spans="1:13" ht="15.5" x14ac:dyDescent="0.35">
      <c r="A149" s="29" t="s">
        <v>1334</v>
      </c>
    </row>
    <row r="150" spans="1:13" x14ac:dyDescent="0.3">
      <c r="A150" s="3"/>
      <c r="B150" s="8" t="s">
        <v>1210</v>
      </c>
      <c r="C150" s="8" t="s">
        <v>1209</v>
      </c>
      <c r="D150" s="127" t="s">
        <v>1206</v>
      </c>
    </row>
    <row r="151" spans="1:13" x14ac:dyDescent="0.3">
      <c r="A151" s="3" t="s">
        <v>1207</v>
      </c>
      <c r="B151" s="24">
        <f>COUNTIF('MOBAYE_Cleaned Data'!AUC:AUC,"OUI")</f>
        <v>0</v>
      </c>
      <c r="C151" s="24">
        <f>COUNTIF('MOBAYE_Cleaned Data'!AUC:AUC,"non")</f>
        <v>1</v>
      </c>
      <c r="D151" s="25">
        <f>SUM(B151:C151)</f>
        <v>1</v>
      </c>
    </row>
    <row r="152" spans="1:13" ht="26" x14ac:dyDescent="0.3">
      <c r="A152" s="121" t="s">
        <v>3316</v>
      </c>
      <c r="B152" s="7">
        <f>(B151/$B$3)</f>
        <v>0</v>
      </c>
      <c r="C152" s="7">
        <f>(C151/$B$3)</f>
        <v>1</v>
      </c>
      <c r="D152" s="128">
        <f>SUM(B152:C152)</f>
        <v>1</v>
      </c>
    </row>
    <row r="153" spans="1:13" x14ac:dyDescent="0.3">
      <c r="A153" s="130"/>
      <c r="B153" s="15"/>
      <c r="C153" s="15"/>
      <c r="D153" s="129"/>
    </row>
    <row r="154" spans="1:13" ht="15.5" x14ac:dyDescent="0.35">
      <c r="A154" s="9" t="s">
        <v>1301</v>
      </c>
      <c r="C154" s="103" t="s">
        <v>3245</v>
      </c>
    </row>
    <row r="155" spans="1:13" ht="56" x14ac:dyDescent="0.35">
      <c r="A155" s="8" t="s">
        <v>2029</v>
      </c>
      <c r="B155" s="8" t="s">
        <v>2028</v>
      </c>
      <c r="C155" s="8" t="s">
        <v>2030</v>
      </c>
      <c r="D155" s="8" t="s">
        <v>1382</v>
      </c>
      <c r="E155" s="8" t="s">
        <v>1383</v>
      </c>
      <c r="F155" s="8" t="s">
        <v>1384</v>
      </c>
      <c r="G155" s="8" t="s">
        <v>1385</v>
      </c>
      <c r="H155" s="8" t="s">
        <v>1905</v>
      </c>
      <c r="I155" s="8" t="s">
        <v>1205</v>
      </c>
      <c r="K155" s="23"/>
      <c r="L155" s="23"/>
      <c r="M155" s="23"/>
    </row>
    <row r="156" spans="1:13" ht="14.5" x14ac:dyDescent="0.35">
      <c r="A156" s="24">
        <f>COUNTIF('MOBAYE_Cleaned Data'!AVH:AVH,"1")</f>
        <v>1</v>
      </c>
      <c r="B156" s="24">
        <f>COUNTIF('MOBAYE_Cleaned Data'!AVI:AVI,"1")</f>
        <v>0</v>
      </c>
      <c r="C156" s="24">
        <f>COUNTIF('MOBAYE_Cleaned Data'!AVJ:AVJ,"1")</f>
        <v>0</v>
      </c>
      <c r="D156" s="24">
        <f>COUNTIF('MOBAYE_Cleaned Data'!AVK:AVK,"1")</f>
        <v>1</v>
      </c>
      <c r="E156" s="24">
        <f>COUNTIF('MOBAYE_Cleaned Data'!AVL:AVL,"1")</f>
        <v>1</v>
      </c>
      <c r="F156" s="24">
        <f>COUNTIF('MOBAYE_Cleaned Data'!AVM:AVM,"1")</f>
        <v>0</v>
      </c>
      <c r="G156" s="24">
        <f>COUNTIF('MOBAYE_Cleaned Data'!AVN:AVN,"1")</f>
        <v>0</v>
      </c>
      <c r="H156" s="24">
        <f>COUNTIF('MOBAYE_Cleaned Data'!AVO:AVO,"1")</f>
        <v>0</v>
      </c>
      <c r="I156" s="24">
        <f>COUNTIF('MOBAYE_Cleaned Data'!AVP:AVP,"1")</f>
        <v>0</v>
      </c>
      <c r="J156"/>
      <c r="K156" s="23"/>
      <c r="L156" s="23"/>
      <c r="M156" s="23"/>
    </row>
    <row r="157" spans="1:13" x14ac:dyDescent="0.3">
      <c r="I157" s="74"/>
    </row>
  </sheetData>
  <conditionalFormatting sqref="C35:F35">
    <cfRule type="colorScale" priority="34">
      <colorScale>
        <cfvo type="min"/>
        <cfvo type="max"/>
        <color theme="6" tint="0.79998168889431442"/>
        <color theme="5" tint="0.39997558519241921"/>
      </colorScale>
    </cfRule>
  </conditionalFormatting>
  <conditionalFormatting sqref="C40:M40">
    <cfRule type="colorScale" priority="33">
      <colorScale>
        <cfvo type="min"/>
        <cfvo type="max"/>
        <color theme="6" tint="0.79998168889431442"/>
        <color theme="5" tint="0.39997558519241921"/>
      </colorScale>
    </cfRule>
  </conditionalFormatting>
  <conditionalFormatting sqref="B61:J61">
    <cfRule type="colorScale" priority="32">
      <colorScale>
        <cfvo type="min"/>
        <cfvo type="max"/>
        <color theme="6" tint="0.79998168889431442"/>
        <color theme="5" tint="0.39997558519241921"/>
      </colorScale>
    </cfRule>
  </conditionalFormatting>
  <conditionalFormatting sqref="B68:E68 C66:H66">
    <cfRule type="colorScale" priority="31">
      <colorScale>
        <cfvo type="min"/>
        <cfvo type="max"/>
        <color theme="6" tint="0.79998168889431442"/>
        <color theme="5" tint="0.39997558519241921"/>
      </colorScale>
    </cfRule>
  </conditionalFormatting>
  <conditionalFormatting sqref="B68:G68 C66:H66">
    <cfRule type="colorScale" priority="30">
      <colorScale>
        <cfvo type="min"/>
        <cfvo type="max"/>
        <color theme="6" tint="0.79998168889431442"/>
        <color theme="5" tint="0.39997558519241921"/>
      </colorScale>
    </cfRule>
  </conditionalFormatting>
  <conditionalFormatting sqref="B77:I77">
    <cfRule type="colorScale" priority="29">
      <colorScale>
        <cfvo type="min"/>
        <cfvo type="max"/>
        <color theme="6" tint="0.79998168889431442"/>
        <color theme="5" tint="0.39997558519241921"/>
      </colorScale>
    </cfRule>
  </conditionalFormatting>
  <conditionalFormatting sqref="C82:F82">
    <cfRule type="colorScale" priority="28">
      <colorScale>
        <cfvo type="min"/>
        <cfvo type="max"/>
        <color theme="6" tint="0.79998168889431442"/>
        <color theme="5" tint="0.39997558519241921"/>
      </colorScale>
    </cfRule>
  </conditionalFormatting>
  <conditionalFormatting sqref="C82:H82">
    <cfRule type="colorScale" priority="27">
      <colorScale>
        <cfvo type="min"/>
        <cfvo type="max"/>
        <color theme="6" tint="0.79998168889431442"/>
        <color theme="5" tint="0.39997558519241921"/>
      </colorScale>
    </cfRule>
  </conditionalFormatting>
  <conditionalFormatting sqref="C98:F98">
    <cfRule type="colorScale" priority="26">
      <colorScale>
        <cfvo type="min"/>
        <cfvo type="max"/>
        <color theme="6" tint="0.79998168889431442"/>
        <color theme="5" tint="0.39997558519241921"/>
      </colorScale>
    </cfRule>
  </conditionalFormatting>
  <conditionalFormatting sqref="C103:I103">
    <cfRule type="colorScale" priority="25">
      <colorScale>
        <cfvo type="min"/>
        <cfvo type="max"/>
        <color theme="6" tint="0.79998168889431442"/>
        <color theme="5" tint="0.39997558519241921"/>
      </colorScale>
    </cfRule>
  </conditionalFormatting>
  <conditionalFormatting sqref="B55:L55">
    <cfRule type="colorScale" priority="24">
      <colorScale>
        <cfvo type="min"/>
        <cfvo type="max"/>
        <color theme="6" tint="0.79998168889431442"/>
        <color theme="5" tint="0.39997558519241921"/>
      </colorScale>
    </cfRule>
  </conditionalFormatting>
  <conditionalFormatting sqref="B128:H128">
    <cfRule type="colorScale" priority="23">
      <colorScale>
        <cfvo type="min"/>
        <cfvo type="max"/>
        <color theme="6" tint="0.79998168889431442"/>
        <color theme="5" tint="0.39997558519241921"/>
      </colorScale>
    </cfRule>
  </conditionalFormatting>
  <conditionalFormatting sqref="B138:F138">
    <cfRule type="colorScale" priority="22">
      <colorScale>
        <cfvo type="min"/>
        <cfvo type="max"/>
        <color theme="6" tint="0.79998168889431442"/>
        <color theme="5" tint="0.39997558519241921"/>
      </colorScale>
    </cfRule>
  </conditionalFormatting>
  <conditionalFormatting sqref="A147:L147">
    <cfRule type="colorScale" priority="21">
      <colorScale>
        <cfvo type="min"/>
        <cfvo type="max"/>
        <color theme="6" tint="0.79998168889431442"/>
        <color theme="5" tint="0.39997558519241921"/>
      </colorScale>
    </cfRule>
  </conditionalFormatting>
  <conditionalFormatting sqref="A143:P143 A144:O144">
    <cfRule type="colorScale" priority="20">
      <colorScale>
        <cfvo type="min"/>
        <cfvo type="max"/>
        <color theme="6" tint="0.79998168889431442"/>
        <color theme="5" tint="0.39997558519241921"/>
      </colorScale>
    </cfRule>
  </conditionalFormatting>
  <conditionalFormatting sqref="A156:I156">
    <cfRule type="colorScale" priority="19">
      <colorScale>
        <cfvo type="min"/>
        <cfvo type="max"/>
        <color theme="6" tint="0.79998168889431442"/>
        <color theme="5" tint="0.39997558519241921"/>
      </colorScale>
    </cfRule>
  </conditionalFormatting>
  <conditionalFormatting sqref="B7:D7">
    <cfRule type="colorScale" priority="18">
      <colorScale>
        <cfvo type="min"/>
        <cfvo type="max"/>
        <color theme="6" tint="0.79998168889431442"/>
        <color theme="5" tint="0.39997558519241921"/>
      </colorScale>
    </cfRule>
  </conditionalFormatting>
  <conditionalFormatting sqref="B12:C12">
    <cfRule type="colorScale" priority="17">
      <colorScale>
        <cfvo type="min"/>
        <cfvo type="max"/>
        <color theme="6" tint="0.79998168889431442"/>
        <color theme="5" tint="0.39997558519241921"/>
      </colorScale>
    </cfRule>
  </conditionalFormatting>
  <conditionalFormatting sqref="C17:D17">
    <cfRule type="colorScale" priority="16">
      <colorScale>
        <cfvo type="min"/>
        <cfvo type="max"/>
        <color theme="6" tint="0.79998168889431442"/>
        <color theme="5" tint="0.39997558519241921"/>
      </colorScale>
    </cfRule>
  </conditionalFormatting>
  <conditionalFormatting sqref="B22:I22">
    <cfRule type="colorScale" priority="15">
      <colorScale>
        <cfvo type="min"/>
        <cfvo type="max"/>
        <color theme="6" tint="0.79998168889431442"/>
        <color theme="5" tint="0.39997558519241921"/>
      </colorScale>
    </cfRule>
  </conditionalFormatting>
  <conditionalFormatting sqref="B30:C30">
    <cfRule type="colorScale" priority="14">
      <colorScale>
        <cfvo type="min"/>
        <cfvo type="max"/>
        <color theme="6" tint="0.79998168889431442"/>
        <color theme="5" tint="0.39997558519241921"/>
      </colorScale>
    </cfRule>
  </conditionalFormatting>
  <conditionalFormatting sqref="B50:C50">
    <cfRule type="colorScale" priority="13">
      <colorScale>
        <cfvo type="min"/>
        <cfvo type="max"/>
        <color theme="6" tint="0.79998168889431442"/>
        <color theme="5" tint="0.39997558519241921"/>
      </colorScale>
    </cfRule>
  </conditionalFormatting>
  <conditionalFormatting sqref="C71:F71">
    <cfRule type="colorScale" priority="12">
      <colorScale>
        <cfvo type="min"/>
        <cfvo type="max"/>
        <color theme="6" tint="0.79998168889431442"/>
        <color theme="5" tint="0.39997558519241921"/>
      </colorScale>
    </cfRule>
  </conditionalFormatting>
  <conditionalFormatting sqref="C71:G71">
    <cfRule type="colorScale" priority="11">
      <colorScale>
        <cfvo type="min"/>
        <cfvo type="max"/>
        <color theme="6" tint="0.79998168889431442"/>
        <color theme="5" tint="0.39997558519241921"/>
      </colorScale>
    </cfRule>
  </conditionalFormatting>
  <conditionalFormatting sqref="C87:F87">
    <cfRule type="colorScale" priority="10">
      <colorScale>
        <cfvo type="min"/>
        <cfvo type="max"/>
        <color theme="6" tint="0.79998168889431442"/>
        <color theme="5" tint="0.39997558519241921"/>
      </colorScale>
    </cfRule>
  </conditionalFormatting>
  <conditionalFormatting sqref="C87:G87">
    <cfRule type="colorScale" priority="9">
      <colorScale>
        <cfvo type="min"/>
        <cfvo type="max"/>
        <color theme="6" tint="0.79998168889431442"/>
        <color theme="5" tint="0.39997558519241921"/>
      </colorScale>
    </cfRule>
  </conditionalFormatting>
  <conditionalFormatting sqref="B93:C93">
    <cfRule type="colorScale" priority="8">
      <colorScale>
        <cfvo type="min"/>
        <cfvo type="max"/>
        <color theme="6" tint="0.79998168889431442"/>
        <color theme="5" tint="0.39997558519241921"/>
      </colorScale>
    </cfRule>
  </conditionalFormatting>
  <conditionalFormatting sqref="B93:C93">
    <cfRule type="colorScale" priority="7">
      <colorScale>
        <cfvo type="min"/>
        <cfvo type="max"/>
        <color theme="6" tint="0.79998168889431442"/>
        <color theme="5" tint="0.39997558519241921"/>
      </colorScale>
    </cfRule>
  </conditionalFormatting>
  <conditionalFormatting sqref="B114:G114">
    <cfRule type="colorScale" priority="6">
      <colorScale>
        <cfvo type="min"/>
        <cfvo type="max"/>
        <color theme="6" tint="0.79998168889431442"/>
        <color theme="5" tint="0.39997558519241921"/>
      </colorScale>
    </cfRule>
  </conditionalFormatting>
  <conditionalFormatting sqref="B133:C133">
    <cfRule type="colorScale" priority="5">
      <colorScale>
        <cfvo type="min"/>
        <cfvo type="max"/>
        <color theme="6" tint="0.79998168889431442"/>
        <color theme="5" tint="0.39997558519241921"/>
      </colorScale>
    </cfRule>
  </conditionalFormatting>
  <conditionalFormatting sqref="B151:C151">
    <cfRule type="colorScale" priority="4">
      <colorScale>
        <cfvo type="min"/>
        <cfvo type="max"/>
        <color theme="6" tint="0.79998168889431442"/>
        <color theme="5" tint="0.39997558519241921"/>
      </colorScale>
    </cfRule>
  </conditionalFormatting>
  <conditionalFormatting sqref="C45:K45">
    <cfRule type="colorScale" priority="3">
      <colorScale>
        <cfvo type="min"/>
        <cfvo type="max"/>
        <color theme="6" tint="0.79998168889431442"/>
        <color theme="5" tint="0.39997558519241921"/>
      </colorScale>
    </cfRule>
  </conditionalFormatting>
  <conditionalFormatting sqref="C108:I108">
    <cfRule type="colorScale" priority="2">
      <colorScale>
        <cfvo type="min"/>
        <cfvo type="max"/>
        <color theme="6" tint="0.79998168889431442"/>
        <color theme="5" tint="0.39997558519241921"/>
      </colorScale>
    </cfRule>
  </conditionalFormatting>
  <conditionalFormatting sqref="P14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VW19"/>
  <sheetViews>
    <sheetView zoomScaleNormal="100" workbookViewId="0">
      <pane xSplit="1" ySplit="3" topLeftCell="E4" activePane="bottomRight" state="frozen"/>
      <selection pane="topRight" activeCell="B1" sqref="B1"/>
      <selection pane="bottomLeft" activeCell="A4" sqref="A4"/>
      <selection pane="bottomRight" activeCell="AIF1" sqref="AIF1"/>
    </sheetView>
  </sheetViews>
  <sheetFormatPr defaultRowHeight="14.5" x14ac:dyDescent="0.35"/>
  <cols>
    <col min="5" max="5" width="11.08984375" bestFit="1" customWidth="1"/>
    <col min="8" max="8" width="8.81640625" bestFit="1" customWidth="1"/>
    <col min="13" max="13" width="7.54296875" customWidth="1"/>
    <col min="15" max="19" width="8.81640625" bestFit="1" customWidth="1"/>
    <col min="22" max="22" width="8.81640625" bestFit="1" customWidth="1"/>
    <col min="23" max="23" width="17.81640625" customWidth="1"/>
    <col min="31" max="39" width="8.81640625" bestFit="1" customWidth="1"/>
    <col min="43" max="43" width="8.81640625" bestFit="1" customWidth="1"/>
    <col min="61" max="67" width="8.81640625" bestFit="1" customWidth="1"/>
    <col min="70" max="81" width="8.81640625" bestFit="1" customWidth="1"/>
    <col min="128" max="128" width="11.36328125" customWidth="1"/>
    <col min="433" max="433" width="8.81640625" bestFit="1" customWidth="1"/>
    <col min="435" max="436" width="8.81640625" bestFit="1" customWidth="1"/>
    <col min="447" max="460" width="8.81640625" bestFit="1" customWidth="1"/>
    <col min="464" max="469" width="8.81640625" bestFit="1" customWidth="1"/>
    <col min="479" max="479" width="8.81640625" bestFit="1" customWidth="1"/>
    <col min="483" max="492" width="8.81640625" bestFit="1" customWidth="1"/>
    <col min="495" max="501" width="8.81640625" bestFit="1" customWidth="1"/>
    <col min="504" max="511" width="8.81640625" bestFit="1" customWidth="1"/>
    <col min="513" max="524" width="8.81640625" bestFit="1" customWidth="1"/>
    <col min="557" max="561" width="8.81640625" bestFit="1" customWidth="1"/>
    <col min="567" max="582" width="8.81640625" bestFit="1" customWidth="1"/>
    <col min="585" max="597" width="8.81640625" bestFit="1" customWidth="1"/>
    <col min="601" max="607" width="8.81640625" bestFit="1" customWidth="1"/>
    <col min="610" max="622" width="8.81640625" bestFit="1" customWidth="1"/>
    <col min="633" max="645" width="8.81640625" bestFit="1" customWidth="1"/>
    <col min="650" max="657" width="8.81640625" bestFit="1" customWidth="1"/>
    <col min="664" max="671" width="8.81640625" bestFit="1" customWidth="1"/>
    <col min="682" max="682" width="8.81640625" bestFit="1" customWidth="1"/>
    <col min="688" max="688" width="8.81640625" bestFit="1" customWidth="1"/>
    <col min="696" max="696" width="8.81640625" bestFit="1" customWidth="1"/>
    <col min="700" max="700" width="8.81640625" bestFit="1" customWidth="1"/>
    <col min="740" max="744" width="8.81640625" bestFit="1" customWidth="1"/>
    <col min="747" max="758" width="8.81640625" bestFit="1" customWidth="1"/>
    <col min="760" max="760" width="8.81640625" bestFit="1" customWidth="1"/>
    <col min="762" max="762" width="8.81640625" bestFit="1" customWidth="1"/>
    <col min="764" max="767" width="8.81640625" bestFit="1" customWidth="1"/>
    <col min="774" max="778" width="8.81640625" bestFit="1" customWidth="1"/>
    <col min="780" max="781" width="8.81640625" bestFit="1" customWidth="1"/>
    <col min="785" max="791" width="8.81640625" bestFit="1" customWidth="1"/>
    <col min="803" max="807" width="8.81640625" bestFit="1" customWidth="1"/>
    <col min="820" max="825" width="8.81640625" bestFit="1" customWidth="1"/>
    <col min="827" max="831" width="8.81640625" bestFit="1" customWidth="1"/>
    <col min="850" max="854" width="8.81640625" bestFit="1" customWidth="1"/>
    <col min="859" max="863" width="8.81640625" bestFit="1" customWidth="1"/>
    <col min="866" max="870" width="8.81640625" bestFit="1" customWidth="1"/>
    <col min="875" max="875" width="8.81640625" bestFit="1" customWidth="1"/>
    <col min="877" max="882" width="8.81640625" bestFit="1" customWidth="1"/>
    <col min="908" max="912" width="8.81640625" bestFit="1" customWidth="1"/>
    <col min="915" max="925" width="8.81640625" bestFit="1" customWidth="1"/>
    <col min="928" max="940" width="8.81640625" bestFit="1" customWidth="1"/>
    <col min="944" max="950" width="8.81640625" bestFit="1" customWidth="1"/>
    <col min="953" max="964" width="8.81640625" bestFit="1" customWidth="1"/>
    <col min="968" max="972" width="8.81640625" bestFit="1" customWidth="1"/>
    <col min="975" max="986" width="8.81640625" bestFit="1" customWidth="1"/>
    <col min="989" max="989" width="8.81640625" bestFit="1" customWidth="1"/>
    <col min="1011" max="1018" width="8.81640625" bestFit="1" customWidth="1"/>
    <col min="1021" max="1027" width="8.81640625" bestFit="1" customWidth="1"/>
    <col min="1029" max="1033" width="8.81640625" bestFit="1" customWidth="1"/>
    <col min="1045" max="1045" width="8.81640625" bestFit="1" customWidth="1"/>
    <col min="1060" max="1070" width="8.81640625" bestFit="1" customWidth="1"/>
    <col min="1075" max="1082" width="8.81640625" bestFit="1" customWidth="1"/>
    <col min="1090" max="1097" width="8.81640625" bestFit="1" customWidth="1"/>
    <col min="1104" max="1104" width="8.81640625" bestFit="1" customWidth="1"/>
    <col min="1109" max="1115" width="8.81640625" bestFit="1" customWidth="1"/>
    <col min="1118" max="1124" width="8.81640625" bestFit="1" customWidth="1"/>
    <col min="1127" max="1127" width="13.08984375" bestFit="1" customWidth="1"/>
    <col min="1128" max="1131" width="8.81640625" bestFit="1" customWidth="1"/>
    <col min="1132" max="1132" width="13.08984375" bestFit="1" customWidth="1"/>
    <col min="1135" max="1135" width="8.81640625" bestFit="1" customWidth="1"/>
    <col min="1156" max="1156" width="8.81640625" bestFit="1" customWidth="1"/>
    <col min="1160" max="1171" width="8.81640625" bestFit="1" customWidth="1"/>
    <col min="1174" max="1180" width="8.81640625" bestFit="1" customWidth="1"/>
    <col min="1193" max="1197" width="8.81640625" bestFit="1" customWidth="1"/>
    <col min="1200" max="1212" width="8.81640625" bestFit="1" customWidth="1"/>
    <col min="1215" max="1231" width="8.81640625" bestFit="1" customWidth="1"/>
    <col min="1264" max="1272" width="8.81640625" bestFit="1" customWidth="1"/>
    <col min="1322" max="1322" width="9" bestFit="1" customWidth="1"/>
    <col min="1325" max="1325" width="8.81640625" bestFit="1" customWidth="1"/>
  </cols>
  <sheetData>
    <row r="1" spans="1:1271" s="1" customFormat="1" ht="14" x14ac:dyDescent="0.3">
      <c r="A1" s="1" t="s">
        <v>1149</v>
      </c>
      <c r="B1" s="1" t="s">
        <v>0</v>
      </c>
      <c r="C1" s="1" t="s">
        <v>1</v>
      </c>
      <c r="D1" s="1" t="s">
        <v>2</v>
      </c>
      <c r="E1" s="1" t="s">
        <v>3</v>
      </c>
      <c r="F1" s="1" t="s">
        <v>4</v>
      </c>
      <c r="G1" s="1" t="s">
        <v>5</v>
      </c>
      <c r="H1" s="1" t="s">
        <v>1537</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1538</v>
      </c>
      <c r="X1" s="1" t="s">
        <v>20</v>
      </c>
      <c r="Y1" s="1" t="s">
        <v>1539</v>
      </c>
      <c r="Z1" s="1" t="s">
        <v>1540</v>
      </c>
      <c r="AA1" s="1" t="s">
        <v>1541</v>
      </c>
      <c r="AB1" s="1" t="s">
        <v>21</v>
      </c>
      <c r="AC1" s="1" t="s">
        <v>22</v>
      </c>
      <c r="AD1" s="1" t="s">
        <v>23</v>
      </c>
      <c r="AE1" s="57" t="s">
        <v>24</v>
      </c>
      <c r="AF1" s="57" t="s">
        <v>25</v>
      </c>
      <c r="AG1" s="57" t="s">
        <v>26</v>
      </c>
      <c r="AH1" s="57" t="s">
        <v>27</v>
      </c>
      <c r="AI1" s="57" t="s">
        <v>28</v>
      </c>
      <c r="AJ1" s="57" t="s">
        <v>29</v>
      </c>
      <c r="AK1" s="1" t="s">
        <v>30</v>
      </c>
      <c r="AL1" s="1" t="s">
        <v>31</v>
      </c>
      <c r="AM1" s="1" t="s">
        <v>1542</v>
      </c>
      <c r="AN1" s="1" t="s">
        <v>32</v>
      </c>
      <c r="AO1" s="1" t="s">
        <v>33</v>
      </c>
      <c r="AP1" s="1" t="s">
        <v>35</v>
      </c>
      <c r="AQ1" s="1" t="s">
        <v>36</v>
      </c>
      <c r="AR1" s="1" t="s">
        <v>1543</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1544</v>
      </c>
      <c r="BZ1" s="1" t="s">
        <v>1545</v>
      </c>
      <c r="CA1" s="1" t="s">
        <v>1546</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1547</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1548</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X1" s="1" t="s">
        <v>192</v>
      </c>
      <c r="GY1" s="1" t="s">
        <v>1549</v>
      </c>
      <c r="GZ1" s="1" t="s">
        <v>193</v>
      </c>
      <c r="HA1" s="1" t="s">
        <v>194</v>
      </c>
      <c r="HB1" s="1" t="s">
        <v>195</v>
      </c>
      <c r="HC1" s="1" t="s">
        <v>196</v>
      </c>
      <c r="HD1" s="1" t="s">
        <v>1550</v>
      </c>
      <c r="HE1" s="1" t="s">
        <v>197</v>
      </c>
      <c r="HF1" s="1" t="s">
        <v>1551</v>
      </c>
      <c r="HG1" s="1" t="s">
        <v>1552</v>
      </c>
      <c r="HH1" s="1" t="s">
        <v>198</v>
      </c>
      <c r="HI1" s="1" t="s">
        <v>199</v>
      </c>
      <c r="HJ1" s="1" t="s">
        <v>200</v>
      </c>
      <c r="HK1" s="1" t="s">
        <v>201</v>
      </c>
      <c r="HL1" s="1" t="s">
        <v>202</v>
      </c>
      <c r="HM1" s="1" t="s">
        <v>203</v>
      </c>
      <c r="HN1" s="1" t="s">
        <v>204</v>
      </c>
      <c r="HO1" s="1" t="s">
        <v>205</v>
      </c>
      <c r="HP1" s="1" t="s">
        <v>206</v>
      </c>
      <c r="HQ1" s="1" t="s">
        <v>207</v>
      </c>
      <c r="HR1" s="1" t="s">
        <v>208</v>
      </c>
      <c r="HS1" s="1" t="s">
        <v>1553</v>
      </c>
      <c r="HT1" s="1" t="s">
        <v>209</v>
      </c>
      <c r="HU1" s="1" t="s">
        <v>210</v>
      </c>
      <c r="HV1" s="1" t="s">
        <v>211</v>
      </c>
      <c r="HW1" s="1" t="s">
        <v>212</v>
      </c>
      <c r="HX1" s="1" t="s">
        <v>213</v>
      </c>
      <c r="HY1" s="1" t="s">
        <v>214</v>
      </c>
      <c r="HZ1" s="1" t="s">
        <v>215</v>
      </c>
      <c r="IA1" s="1" t="s">
        <v>216</v>
      </c>
      <c r="IB1" s="1" t="s">
        <v>217</v>
      </c>
      <c r="IC1" s="1" t="s">
        <v>218</v>
      </c>
      <c r="ID1" s="1" t="s">
        <v>219</v>
      </c>
      <c r="IE1" s="1" t="s">
        <v>220</v>
      </c>
      <c r="IF1" s="1" t="s">
        <v>221</v>
      </c>
      <c r="IG1" s="1" t="s">
        <v>222</v>
      </c>
      <c r="IH1" s="1" t="s">
        <v>223</v>
      </c>
      <c r="II1" s="1" t="s">
        <v>224</v>
      </c>
      <c r="IJ1" s="1" t="s">
        <v>225</v>
      </c>
      <c r="IK1" s="1" t="s">
        <v>226</v>
      </c>
      <c r="IL1" s="1" t="s">
        <v>227</v>
      </c>
      <c r="IM1" s="1" t="s">
        <v>228</v>
      </c>
      <c r="IN1" s="1" t="s">
        <v>229</v>
      </c>
      <c r="IO1" s="1" t="s">
        <v>230</v>
      </c>
      <c r="IP1" s="1" t="s">
        <v>231</v>
      </c>
      <c r="IQ1" s="1" t="s">
        <v>232</v>
      </c>
      <c r="IR1" s="1" t="s">
        <v>233</v>
      </c>
      <c r="IS1" s="1" t="s">
        <v>234</v>
      </c>
      <c r="IT1" s="1" t="s">
        <v>235</v>
      </c>
      <c r="IU1" s="1" t="s">
        <v>236</v>
      </c>
      <c r="IV1" s="1" t="s">
        <v>237</v>
      </c>
      <c r="IW1" s="1" t="s">
        <v>238</v>
      </c>
      <c r="IX1" s="1" t="s">
        <v>239</v>
      </c>
      <c r="IY1" s="1" t="s">
        <v>240</v>
      </c>
      <c r="IZ1" s="1" t="s">
        <v>241</v>
      </c>
      <c r="JA1" s="1" t="s">
        <v>242</v>
      </c>
      <c r="JB1" s="1" t="s">
        <v>243</v>
      </c>
      <c r="JC1" s="1" t="s">
        <v>244</v>
      </c>
      <c r="JD1" s="1" t="s">
        <v>245</v>
      </c>
      <c r="JE1" s="1" t="s">
        <v>246</v>
      </c>
      <c r="JF1" s="1" t="s">
        <v>247</v>
      </c>
      <c r="JG1" s="1" t="s">
        <v>248</v>
      </c>
      <c r="JH1" s="1" t="s">
        <v>249</v>
      </c>
      <c r="JI1" s="1" t="s">
        <v>250</v>
      </c>
      <c r="JJ1" s="1" t="s">
        <v>251</v>
      </c>
      <c r="JK1" s="1" t="s">
        <v>252</v>
      </c>
      <c r="JL1" s="1" t="s">
        <v>1554</v>
      </c>
      <c r="JM1" s="1" t="s">
        <v>1555</v>
      </c>
      <c r="JN1" s="1" t="s">
        <v>1556</v>
      </c>
      <c r="JO1" s="1" t="s">
        <v>253</v>
      </c>
      <c r="JP1" s="1" t="s">
        <v>254</v>
      </c>
      <c r="JQ1" s="1" t="s">
        <v>255</v>
      </c>
      <c r="JR1" s="1" t="s">
        <v>256</v>
      </c>
      <c r="JS1" s="1" t="s">
        <v>257</v>
      </c>
      <c r="JT1" s="1" t="s">
        <v>258</v>
      </c>
      <c r="JU1" s="1" t="s">
        <v>259</v>
      </c>
      <c r="JV1" s="1" t="s">
        <v>260</v>
      </c>
      <c r="JW1" s="1" t="s">
        <v>261</v>
      </c>
      <c r="JX1" s="1" t="s">
        <v>262</v>
      </c>
      <c r="JY1" s="1" t="s">
        <v>263</v>
      </c>
      <c r="JZ1" s="1" t="s">
        <v>264</v>
      </c>
      <c r="KA1" s="1" t="s">
        <v>265</v>
      </c>
      <c r="KB1" s="1" t="s">
        <v>266</v>
      </c>
      <c r="KC1" s="1" t="s">
        <v>267</v>
      </c>
      <c r="KD1" s="1" t="s">
        <v>268</v>
      </c>
      <c r="KE1" s="1" t="s">
        <v>269</v>
      </c>
      <c r="KF1" s="1" t="s">
        <v>270</v>
      </c>
      <c r="KG1" s="1" t="s">
        <v>271</v>
      </c>
      <c r="KH1" s="1" t="s">
        <v>272</v>
      </c>
      <c r="KI1" s="1" t="s">
        <v>273</v>
      </c>
      <c r="KJ1" s="1" t="s">
        <v>274</v>
      </c>
      <c r="KK1" s="1" t="s">
        <v>275</v>
      </c>
      <c r="KL1" s="1" t="s">
        <v>276</v>
      </c>
      <c r="KM1" s="1" t="s">
        <v>277</v>
      </c>
      <c r="KN1" s="1" t="s">
        <v>278</v>
      </c>
      <c r="KO1" s="1" t="s">
        <v>279</v>
      </c>
      <c r="KP1" s="1" t="s">
        <v>280</v>
      </c>
      <c r="KQ1" s="1" t="s">
        <v>281</v>
      </c>
      <c r="KR1" s="1" t="s">
        <v>282</v>
      </c>
      <c r="KS1" s="1" t="s">
        <v>283</v>
      </c>
      <c r="KT1" s="1" t="s">
        <v>284</v>
      </c>
      <c r="KU1" s="1" t="s">
        <v>285</v>
      </c>
      <c r="KV1" s="1" t="s">
        <v>286</v>
      </c>
      <c r="KW1" s="1" t="s">
        <v>287</v>
      </c>
      <c r="KX1" s="1" t="s">
        <v>288</v>
      </c>
      <c r="KY1" s="1" t="s">
        <v>289</v>
      </c>
      <c r="KZ1" s="1" t="s">
        <v>290</v>
      </c>
      <c r="LA1" s="1" t="s">
        <v>291</v>
      </c>
      <c r="LB1" s="1" t="s">
        <v>292</v>
      </c>
      <c r="LC1" s="1" t="s">
        <v>293</v>
      </c>
      <c r="LD1" s="1" t="s">
        <v>294</v>
      </c>
      <c r="LE1" s="1" t="s">
        <v>295</v>
      </c>
      <c r="LF1" s="1" t="s">
        <v>296</v>
      </c>
      <c r="LG1" s="1" t="s">
        <v>297</v>
      </c>
      <c r="LH1" s="1" t="s">
        <v>298</v>
      </c>
      <c r="LI1" s="1" t="s">
        <v>299</v>
      </c>
      <c r="LJ1" s="1" t="s">
        <v>300</v>
      </c>
      <c r="LK1" s="1" t="s">
        <v>301</v>
      </c>
      <c r="LL1" s="1" t="s">
        <v>302</v>
      </c>
      <c r="LM1" s="1" t="s">
        <v>303</v>
      </c>
      <c r="LN1" s="1" t="s">
        <v>304</v>
      </c>
      <c r="LO1" s="1" t="s">
        <v>305</v>
      </c>
      <c r="LP1" s="1" t="s">
        <v>306</v>
      </c>
      <c r="LQ1" s="1" t="s">
        <v>307</v>
      </c>
      <c r="LR1" s="1" t="s">
        <v>308</v>
      </c>
      <c r="LS1" s="1" t="s">
        <v>309</v>
      </c>
      <c r="LT1" s="1" t="s">
        <v>310</v>
      </c>
      <c r="LU1" s="1" t="s">
        <v>311</v>
      </c>
      <c r="LV1" s="1" t="s">
        <v>312</v>
      </c>
      <c r="LW1" s="1" t="s">
        <v>313</v>
      </c>
      <c r="LX1" s="1" t="s">
        <v>1557</v>
      </c>
      <c r="LY1" s="1" t="s">
        <v>314</v>
      </c>
      <c r="LZ1" s="1" t="s">
        <v>315</v>
      </c>
      <c r="MA1" s="1" t="s">
        <v>316</v>
      </c>
      <c r="MB1" s="1" t="s">
        <v>317</v>
      </c>
      <c r="MC1" s="1" t="s">
        <v>318</v>
      </c>
      <c r="MD1" s="1" t="s">
        <v>319</v>
      </c>
      <c r="ME1" s="1" t="s">
        <v>320</v>
      </c>
      <c r="MF1" s="1" t="s">
        <v>321</v>
      </c>
      <c r="MG1" s="1" t="s">
        <v>322</v>
      </c>
      <c r="MH1" s="1" t="s">
        <v>323</v>
      </c>
      <c r="MI1" s="1" t="s">
        <v>324</v>
      </c>
      <c r="MJ1" s="1" t="s">
        <v>325</v>
      </c>
      <c r="MK1" s="1" t="s">
        <v>326</v>
      </c>
      <c r="ML1" s="1" t="s">
        <v>327</v>
      </c>
      <c r="MM1" s="1" t="s">
        <v>1558</v>
      </c>
      <c r="MN1" s="1" t="s">
        <v>328</v>
      </c>
      <c r="MO1" s="1" t="s">
        <v>329</v>
      </c>
      <c r="MP1" s="1" t="s">
        <v>330</v>
      </c>
      <c r="MQ1" s="1" t="s">
        <v>331</v>
      </c>
      <c r="MR1" s="1" t="s">
        <v>332</v>
      </c>
      <c r="MS1" s="1" t="s">
        <v>333</v>
      </c>
      <c r="MT1" s="1" t="s">
        <v>334</v>
      </c>
      <c r="MU1" s="1" t="s">
        <v>335</v>
      </c>
      <c r="MV1" s="1" t="s">
        <v>336</v>
      </c>
      <c r="MW1" s="1" t="s">
        <v>337</v>
      </c>
      <c r="MX1" s="1" t="s">
        <v>338</v>
      </c>
      <c r="MY1" s="1" t="s">
        <v>339</v>
      </c>
      <c r="MZ1" s="1" t="s">
        <v>340</v>
      </c>
      <c r="NA1" s="1" t="s">
        <v>341</v>
      </c>
      <c r="NB1" s="1" t="s">
        <v>342</v>
      </c>
      <c r="NC1" s="1" t="s">
        <v>343</v>
      </c>
      <c r="ND1" s="1" t="s">
        <v>344</v>
      </c>
      <c r="NE1" s="1" t="s">
        <v>345</v>
      </c>
      <c r="NF1" s="1" t="s">
        <v>346</v>
      </c>
      <c r="NG1" s="1" t="s">
        <v>347</v>
      </c>
      <c r="NH1" s="1" t="s">
        <v>348</v>
      </c>
      <c r="NI1" s="1" t="s">
        <v>349</v>
      </c>
      <c r="NJ1" s="1" t="s">
        <v>350</v>
      </c>
      <c r="NK1" s="1" t="s">
        <v>351</v>
      </c>
      <c r="NL1" s="1" t="s">
        <v>352</v>
      </c>
      <c r="NM1" s="1" t="s">
        <v>353</v>
      </c>
      <c r="NN1" s="1" t="s">
        <v>354</v>
      </c>
      <c r="NO1" s="1" t="s">
        <v>355</v>
      </c>
      <c r="NP1" s="1" t="s">
        <v>356</v>
      </c>
      <c r="NQ1" s="1" t="s">
        <v>357</v>
      </c>
      <c r="NR1" s="1" t="s">
        <v>358</v>
      </c>
      <c r="NS1" s="1" t="s">
        <v>359</v>
      </c>
      <c r="NT1" s="1" t="s">
        <v>360</v>
      </c>
      <c r="NU1" s="1" t="s">
        <v>361</v>
      </c>
      <c r="NV1" s="1" t="s">
        <v>362</v>
      </c>
      <c r="NW1" s="1" t="s">
        <v>363</v>
      </c>
      <c r="NX1" s="1" t="s">
        <v>364</v>
      </c>
      <c r="NY1" s="1" t="s">
        <v>365</v>
      </c>
      <c r="NZ1" s="1" t="s">
        <v>366</v>
      </c>
      <c r="OA1" s="1" t="s">
        <v>367</v>
      </c>
      <c r="OB1" s="1" t="s">
        <v>368</v>
      </c>
      <c r="OC1" s="1" t="s">
        <v>369</v>
      </c>
      <c r="OD1" s="1" t="s">
        <v>370</v>
      </c>
      <c r="OE1" s="1" t="s">
        <v>371</v>
      </c>
      <c r="OF1" s="1" t="s">
        <v>372</v>
      </c>
      <c r="OG1" s="1" t="s">
        <v>373</v>
      </c>
      <c r="OH1" s="1" t="s">
        <v>374</v>
      </c>
      <c r="OI1" s="1" t="s">
        <v>375</v>
      </c>
      <c r="OJ1" s="1" t="s">
        <v>376</v>
      </c>
      <c r="OK1" s="1" t="s">
        <v>377</v>
      </c>
      <c r="OL1" s="1" t="s">
        <v>378</v>
      </c>
      <c r="OM1" s="1" t="s">
        <v>1559</v>
      </c>
      <c r="ON1" s="1" t="s">
        <v>379</v>
      </c>
      <c r="OO1" s="1" t="s">
        <v>1560</v>
      </c>
      <c r="OP1" s="1" t="s">
        <v>1561</v>
      </c>
      <c r="OQ1" s="1" t="s">
        <v>1562</v>
      </c>
      <c r="OR1" s="1" t="s">
        <v>380</v>
      </c>
      <c r="OS1" s="1" t="s">
        <v>381</v>
      </c>
      <c r="OT1" s="1" t="s">
        <v>382</v>
      </c>
      <c r="OU1" s="1" t="s">
        <v>383</v>
      </c>
      <c r="OV1" s="1" t="s">
        <v>384</v>
      </c>
      <c r="OW1" s="1" t="s">
        <v>385</v>
      </c>
      <c r="OX1" s="1" t="s">
        <v>386</v>
      </c>
      <c r="OY1" s="1" t="s">
        <v>387</v>
      </c>
      <c r="OZ1" s="1" t="s">
        <v>388</v>
      </c>
      <c r="PA1" s="1" t="s">
        <v>389</v>
      </c>
      <c r="PB1" s="1" t="s">
        <v>390</v>
      </c>
      <c r="PC1" s="1" t="s">
        <v>391</v>
      </c>
      <c r="PD1" s="1" t="s">
        <v>392</v>
      </c>
      <c r="PE1" s="1" t="s">
        <v>1563</v>
      </c>
      <c r="PF1" s="1" t="s">
        <v>1564</v>
      </c>
      <c r="PG1" s="1" t="s">
        <v>1565</v>
      </c>
      <c r="PH1" s="1" t="s">
        <v>1566</v>
      </c>
      <c r="PI1" s="1" t="s">
        <v>1567</v>
      </c>
      <c r="PJ1" s="1" t="s">
        <v>393</v>
      </c>
      <c r="PK1" s="1" t="s">
        <v>1568</v>
      </c>
      <c r="PL1" s="1" t="s">
        <v>394</v>
      </c>
      <c r="PM1" s="1" t="s">
        <v>395</v>
      </c>
      <c r="PN1" s="1" t="s">
        <v>396</v>
      </c>
      <c r="PO1" s="1" t="s">
        <v>397</v>
      </c>
      <c r="PP1" s="1" t="s">
        <v>398</v>
      </c>
      <c r="PQ1" s="1" t="s">
        <v>399</v>
      </c>
      <c r="PR1" s="1" t="s">
        <v>400</v>
      </c>
      <c r="PS1" s="1" t="s">
        <v>401</v>
      </c>
      <c r="PT1" s="1" t="s">
        <v>402</v>
      </c>
      <c r="PU1" s="1" t="s">
        <v>403</v>
      </c>
      <c r="PV1" s="1" t="s">
        <v>404</v>
      </c>
      <c r="PW1" s="1" t="s">
        <v>405</v>
      </c>
      <c r="PX1" s="1" t="s">
        <v>406</v>
      </c>
      <c r="PY1" s="1" t="s">
        <v>407</v>
      </c>
      <c r="PZ1" s="1" t="s">
        <v>408</v>
      </c>
      <c r="QA1" s="1" t="s">
        <v>409</v>
      </c>
      <c r="QB1" s="1" t="s">
        <v>410</v>
      </c>
      <c r="QC1" s="1" t="s">
        <v>411</v>
      </c>
      <c r="QD1" s="1" t="s">
        <v>412</v>
      </c>
      <c r="QE1" s="1" t="s">
        <v>413</v>
      </c>
      <c r="QF1" s="1" t="s">
        <v>414</v>
      </c>
      <c r="QG1" s="1" t="s">
        <v>415</v>
      </c>
      <c r="QH1" s="1" t="s">
        <v>416</v>
      </c>
      <c r="QI1" s="57" t="s">
        <v>417</v>
      </c>
      <c r="QJ1" s="1" t="s">
        <v>418</v>
      </c>
      <c r="QK1" s="1" t="s">
        <v>419</v>
      </c>
      <c r="QL1" s="1" t="s">
        <v>420</v>
      </c>
      <c r="QM1" s="1" t="s">
        <v>421</v>
      </c>
      <c r="QN1" s="1" t="s">
        <v>1569</v>
      </c>
      <c r="QO1" s="1" t="s">
        <v>422</v>
      </c>
      <c r="QP1" s="1" t="s">
        <v>423</v>
      </c>
      <c r="QQ1" s="1" t="s">
        <v>424</v>
      </c>
      <c r="QR1" s="1" t="s">
        <v>425</v>
      </c>
      <c r="QS1" s="1" t="s">
        <v>426</v>
      </c>
      <c r="QT1" s="1" t="s">
        <v>427</v>
      </c>
      <c r="QU1" s="1" t="s">
        <v>428</v>
      </c>
      <c r="QV1" s="1" t="s">
        <v>1570</v>
      </c>
      <c r="QW1" s="1" t="s">
        <v>1571</v>
      </c>
      <c r="QX1" s="1" t="s">
        <v>429</v>
      </c>
      <c r="QY1" s="1" t="s">
        <v>430</v>
      </c>
      <c r="QZ1" s="1" t="s">
        <v>431</v>
      </c>
      <c r="RA1" s="1" t="s">
        <v>432</v>
      </c>
      <c r="RB1" s="1" t="s">
        <v>433</v>
      </c>
      <c r="RC1" s="1" t="s">
        <v>434</v>
      </c>
      <c r="RD1" s="1" t="s">
        <v>435</v>
      </c>
      <c r="RE1" s="1" t="s">
        <v>436</v>
      </c>
      <c r="RF1" s="1" t="s">
        <v>437</v>
      </c>
      <c r="RG1" s="1" t="s">
        <v>438</v>
      </c>
      <c r="RH1" s="1" t="s">
        <v>439</v>
      </c>
      <c r="RI1" s="1" t="s">
        <v>440</v>
      </c>
      <c r="RJ1" s="1" t="s">
        <v>441</v>
      </c>
      <c r="RK1" s="1" t="s">
        <v>442</v>
      </c>
      <c r="RL1" s="1" t="s">
        <v>443</v>
      </c>
      <c r="RM1" s="1" t="s">
        <v>444</v>
      </c>
      <c r="RN1" s="1" t="s">
        <v>445</v>
      </c>
      <c r="RO1" s="1" t="s">
        <v>446</v>
      </c>
      <c r="RP1" s="1" t="s">
        <v>447</v>
      </c>
      <c r="RQ1" s="1" t="s">
        <v>448</v>
      </c>
      <c r="RR1" s="1" t="s">
        <v>449</v>
      </c>
      <c r="RS1" s="1" t="s">
        <v>450</v>
      </c>
      <c r="RT1" s="1" t="s">
        <v>451</v>
      </c>
      <c r="RU1" s="1" t="s">
        <v>452</v>
      </c>
      <c r="RV1" s="1" t="s">
        <v>453</v>
      </c>
      <c r="RW1" s="1" t="s">
        <v>454</v>
      </c>
      <c r="RX1" s="1" t="s">
        <v>455</v>
      </c>
      <c r="RY1" s="1" t="s">
        <v>456</v>
      </c>
      <c r="RZ1" s="1" t="s">
        <v>457</v>
      </c>
      <c r="SA1" s="1" t="s">
        <v>458</v>
      </c>
      <c r="SB1" s="1" t="s">
        <v>459</v>
      </c>
      <c r="SC1" s="1" t="s">
        <v>460</v>
      </c>
      <c r="SD1" s="1" t="s">
        <v>461</v>
      </c>
      <c r="SE1" s="1" t="s">
        <v>462</v>
      </c>
      <c r="SF1" s="1" t="s">
        <v>463</v>
      </c>
      <c r="SG1" s="1" t="s">
        <v>464</v>
      </c>
      <c r="SH1" s="1" t="s">
        <v>465</v>
      </c>
      <c r="SI1" s="1" t="s">
        <v>466</v>
      </c>
      <c r="SJ1" s="1" t="s">
        <v>467</v>
      </c>
      <c r="SK1" s="1" t="s">
        <v>468</v>
      </c>
      <c r="SL1" s="1" t="s">
        <v>469</v>
      </c>
      <c r="SM1" s="1" t="s">
        <v>470</v>
      </c>
      <c r="SN1" s="1" t="s">
        <v>471</v>
      </c>
      <c r="SO1" s="1" t="s">
        <v>472</v>
      </c>
      <c r="SP1" s="1" t="s">
        <v>473</v>
      </c>
      <c r="SQ1" s="1" t="s">
        <v>474</v>
      </c>
      <c r="SR1" s="1" t="s">
        <v>475</v>
      </c>
      <c r="SS1" s="1" t="s">
        <v>476</v>
      </c>
      <c r="ST1" s="1" t="s">
        <v>477</v>
      </c>
      <c r="SU1" s="1" t="s">
        <v>478</v>
      </c>
      <c r="SV1" s="1" t="s">
        <v>479</v>
      </c>
      <c r="SW1" s="1" t="s">
        <v>480</v>
      </c>
      <c r="SX1" s="1" t="s">
        <v>1572</v>
      </c>
      <c r="SY1" s="1" t="s">
        <v>1573</v>
      </c>
      <c r="SZ1" s="1" t="s">
        <v>1574</v>
      </c>
      <c r="TA1" s="1" t="s">
        <v>481</v>
      </c>
      <c r="TB1" s="1" t="s">
        <v>482</v>
      </c>
      <c r="TC1" s="1" t="s">
        <v>483</v>
      </c>
      <c r="TD1" s="1" t="s">
        <v>484</v>
      </c>
      <c r="TE1" s="1" t="s">
        <v>485</v>
      </c>
      <c r="TF1" s="1" t="s">
        <v>486</v>
      </c>
      <c r="TG1" s="1" t="s">
        <v>487</v>
      </c>
      <c r="TH1" s="1" t="s">
        <v>488</v>
      </c>
      <c r="TI1" s="1" t="s">
        <v>489</v>
      </c>
      <c r="TJ1" s="1" t="s">
        <v>490</v>
      </c>
      <c r="TK1" s="1" t="s">
        <v>491</v>
      </c>
      <c r="TL1" s="1" t="s">
        <v>492</v>
      </c>
      <c r="TM1" s="1" t="s">
        <v>493</v>
      </c>
      <c r="TN1" s="1" t="s">
        <v>494</v>
      </c>
      <c r="TO1" s="1" t="s">
        <v>495</v>
      </c>
      <c r="TP1" s="1" t="s">
        <v>496</v>
      </c>
      <c r="TQ1" s="1" t="s">
        <v>497</v>
      </c>
      <c r="TR1" s="1" t="s">
        <v>498</v>
      </c>
      <c r="TS1" s="1" t="s">
        <v>499</v>
      </c>
      <c r="TT1" s="1" t="s">
        <v>500</v>
      </c>
      <c r="TU1" s="1" t="s">
        <v>501</v>
      </c>
      <c r="TV1" s="1" t="s">
        <v>502</v>
      </c>
      <c r="TW1" s="1" t="s">
        <v>503</v>
      </c>
      <c r="TX1" s="1" t="s">
        <v>504</v>
      </c>
      <c r="TY1" s="1" t="s">
        <v>505</v>
      </c>
      <c r="TZ1" s="1" t="s">
        <v>506</v>
      </c>
      <c r="UA1" s="1" t="s">
        <v>507</v>
      </c>
      <c r="UB1" s="1" t="s">
        <v>508</v>
      </c>
      <c r="UC1" s="1" t="s">
        <v>509</v>
      </c>
      <c r="UD1" s="1" t="s">
        <v>510</v>
      </c>
      <c r="UE1" s="1" t="s">
        <v>511</v>
      </c>
      <c r="UF1" s="1" t="s">
        <v>512</v>
      </c>
      <c r="UG1" s="1" t="s">
        <v>513</v>
      </c>
      <c r="UH1" s="1" t="s">
        <v>514</v>
      </c>
      <c r="UI1" s="1" t="s">
        <v>515</v>
      </c>
      <c r="UJ1" s="1" t="s">
        <v>516</v>
      </c>
      <c r="UK1" s="1" t="s">
        <v>517</v>
      </c>
      <c r="UL1" s="1" t="s">
        <v>518</v>
      </c>
      <c r="UM1" s="1" t="s">
        <v>519</v>
      </c>
      <c r="UN1" s="1" t="s">
        <v>520</v>
      </c>
      <c r="UO1" s="1" t="s">
        <v>521</v>
      </c>
      <c r="UP1" s="1" t="s">
        <v>522</v>
      </c>
      <c r="UQ1" s="1" t="s">
        <v>523</v>
      </c>
      <c r="UR1" s="1" t="s">
        <v>524</v>
      </c>
      <c r="US1" s="1" t="s">
        <v>525</v>
      </c>
      <c r="UT1" s="1" t="s">
        <v>526</v>
      </c>
      <c r="UU1" s="1" t="s">
        <v>527</v>
      </c>
      <c r="UV1" s="1" t="s">
        <v>528</v>
      </c>
      <c r="UW1" s="1" t="s">
        <v>529</v>
      </c>
      <c r="UX1" s="1" t="s">
        <v>530</v>
      </c>
      <c r="UY1" s="1" t="s">
        <v>531</v>
      </c>
      <c r="UZ1" s="1" t="s">
        <v>532</v>
      </c>
      <c r="VA1" s="1" t="s">
        <v>533</v>
      </c>
      <c r="VB1" s="1" t="s">
        <v>534</v>
      </c>
      <c r="VC1" s="1" t="s">
        <v>535</v>
      </c>
      <c r="VD1" s="1" t="s">
        <v>536</v>
      </c>
      <c r="VE1" s="1" t="s">
        <v>537</v>
      </c>
      <c r="VF1" s="1" t="s">
        <v>538</v>
      </c>
      <c r="VG1" s="1" t="s">
        <v>539</v>
      </c>
      <c r="VH1" s="1" t="s">
        <v>540</v>
      </c>
      <c r="VI1" s="1" t="s">
        <v>541</v>
      </c>
      <c r="VJ1" s="1" t="s">
        <v>542</v>
      </c>
      <c r="VK1" s="1" t="s">
        <v>543</v>
      </c>
      <c r="VL1" s="1" t="s">
        <v>544</v>
      </c>
      <c r="VM1" s="1" t="s">
        <v>545</v>
      </c>
      <c r="VN1" s="1" t="s">
        <v>546</v>
      </c>
      <c r="VO1" s="1" t="s">
        <v>547</v>
      </c>
      <c r="VP1" s="1" t="s">
        <v>548</v>
      </c>
      <c r="VQ1" s="1" t="s">
        <v>549</v>
      </c>
      <c r="VR1" s="1" t="s">
        <v>550</v>
      </c>
      <c r="VS1" s="1" t="s">
        <v>551</v>
      </c>
      <c r="VT1" s="1" t="s">
        <v>552</v>
      </c>
      <c r="VU1" s="1" t="s">
        <v>1575</v>
      </c>
      <c r="VV1" s="1" t="s">
        <v>553</v>
      </c>
      <c r="VW1" s="1" t="s">
        <v>554</v>
      </c>
      <c r="VX1" s="1" t="s">
        <v>555</v>
      </c>
      <c r="VY1" s="1" t="s">
        <v>556</v>
      </c>
      <c r="VZ1" s="1" t="s">
        <v>557</v>
      </c>
      <c r="WA1" s="1" t="s">
        <v>558</v>
      </c>
      <c r="WB1" s="1" t="s">
        <v>559</v>
      </c>
      <c r="WC1" s="1" t="s">
        <v>560</v>
      </c>
      <c r="WD1" s="1" t="s">
        <v>561</v>
      </c>
      <c r="WE1" s="1" t="s">
        <v>562</v>
      </c>
      <c r="WF1" s="1" t="s">
        <v>563</v>
      </c>
      <c r="WG1" s="1" t="s">
        <v>564</v>
      </c>
      <c r="WH1" s="1" t="s">
        <v>565</v>
      </c>
      <c r="WI1" s="1" t="s">
        <v>566</v>
      </c>
      <c r="WJ1" s="1" t="s">
        <v>567</v>
      </c>
      <c r="WK1" s="1" t="s">
        <v>568</v>
      </c>
      <c r="WL1" s="1" t="s">
        <v>569</v>
      </c>
      <c r="WM1" s="1" t="s">
        <v>570</v>
      </c>
      <c r="WN1" s="1" t="s">
        <v>571</v>
      </c>
      <c r="WO1" s="1" t="s">
        <v>572</v>
      </c>
      <c r="WP1" s="1" t="s">
        <v>573</v>
      </c>
      <c r="WQ1" s="1" t="s">
        <v>574</v>
      </c>
      <c r="WR1" s="1" t="s">
        <v>575</v>
      </c>
      <c r="WS1" s="1" t="s">
        <v>576</v>
      </c>
      <c r="WT1" s="1" t="s">
        <v>577</v>
      </c>
      <c r="WU1" s="1" t="s">
        <v>578</v>
      </c>
      <c r="WV1" s="1" t="s">
        <v>579</v>
      </c>
      <c r="WW1" s="1" t="s">
        <v>580</v>
      </c>
      <c r="WX1" s="1" t="s">
        <v>581</v>
      </c>
      <c r="WY1" s="1" t="s">
        <v>582</v>
      </c>
      <c r="WZ1" s="1" t="s">
        <v>583</v>
      </c>
      <c r="XA1" s="1" t="s">
        <v>584</v>
      </c>
      <c r="XB1" s="1" t="s">
        <v>585</v>
      </c>
      <c r="XC1" s="1" t="s">
        <v>586</v>
      </c>
      <c r="XD1" s="1" t="s">
        <v>587</v>
      </c>
      <c r="XE1" s="1" t="s">
        <v>588</v>
      </c>
      <c r="XF1" s="1" t="s">
        <v>589</v>
      </c>
      <c r="XG1" s="1" t="s">
        <v>590</v>
      </c>
      <c r="XH1" s="1" t="s">
        <v>591</v>
      </c>
      <c r="XI1" s="1" t="s">
        <v>592</v>
      </c>
      <c r="XJ1" s="1" t="s">
        <v>593</v>
      </c>
      <c r="XK1" s="1" t="s">
        <v>594</v>
      </c>
      <c r="XL1" s="1" t="s">
        <v>595</v>
      </c>
      <c r="XM1" s="1" t="s">
        <v>596</v>
      </c>
      <c r="XN1" s="1" t="s">
        <v>597</v>
      </c>
      <c r="XO1" s="1" t="s">
        <v>598</v>
      </c>
      <c r="XP1" s="1" t="s">
        <v>599</v>
      </c>
      <c r="XQ1" s="1" t="s">
        <v>600</v>
      </c>
      <c r="XR1" s="1" t="s">
        <v>601</v>
      </c>
      <c r="XS1" s="1" t="s">
        <v>602</v>
      </c>
      <c r="XT1" s="1" t="s">
        <v>603</v>
      </c>
      <c r="XU1" s="1" t="s">
        <v>604</v>
      </c>
      <c r="XV1" s="1" t="s">
        <v>605</v>
      </c>
      <c r="XW1" s="1" t="s">
        <v>606</v>
      </c>
      <c r="XX1" s="1" t="s">
        <v>607</v>
      </c>
      <c r="XY1" s="1" t="s">
        <v>608</v>
      </c>
      <c r="XZ1" s="1" t="s">
        <v>609</v>
      </c>
      <c r="YA1" s="1" t="s">
        <v>610</v>
      </c>
      <c r="YB1" s="1" t="s">
        <v>611</v>
      </c>
      <c r="YC1" s="1" t="s">
        <v>612</v>
      </c>
      <c r="YD1" s="1" t="s">
        <v>613</v>
      </c>
      <c r="YE1" s="1" t="s">
        <v>614</v>
      </c>
      <c r="YF1" s="1" t="s">
        <v>615</v>
      </c>
      <c r="YG1" s="1" t="s">
        <v>616</v>
      </c>
      <c r="YH1" s="1" t="s">
        <v>617</v>
      </c>
      <c r="YI1" s="1" t="s">
        <v>618</v>
      </c>
      <c r="YJ1" s="1" t="s">
        <v>619</v>
      </c>
      <c r="YK1" s="1" t="s">
        <v>620</v>
      </c>
      <c r="YL1" s="1" t="s">
        <v>621</v>
      </c>
      <c r="YM1" s="1" t="s">
        <v>622</v>
      </c>
      <c r="YN1" s="1" t="s">
        <v>623</v>
      </c>
      <c r="YO1" s="1" t="s">
        <v>624</v>
      </c>
      <c r="YP1" s="1" t="s">
        <v>625</v>
      </c>
      <c r="YQ1" s="1" t="s">
        <v>626</v>
      </c>
      <c r="YR1" s="1" t="s">
        <v>627</v>
      </c>
      <c r="YS1" s="1" t="s">
        <v>628</v>
      </c>
      <c r="YT1" s="1" t="s">
        <v>629</v>
      </c>
      <c r="YU1" s="1" t="s">
        <v>630</v>
      </c>
      <c r="YV1" s="1" t="s">
        <v>631</v>
      </c>
      <c r="YW1" s="1" t="s">
        <v>632</v>
      </c>
      <c r="YX1" s="1" t="s">
        <v>633</v>
      </c>
      <c r="YY1" s="1" t="s">
        <v>634</v>
      </c>
      <c r="YZ1" s="1" t="s">
        <v>635</v>
      </c>
      <c r="ZA1" s="1" t="s">
        <v>636</v>
      </c>
      <c r="ZB1" s="1" t="s">
        <v>637</v>
      </c>
      <c r="ZC1" s="1" t="s">
        <v>1576</v>
      </c>
      <c r="ZD1" s="1" t="s">
        <v>1577</v>
      </c>
      <c r="ZE1" s="1" t="s">
        <v>1578</v>
      </c>
      <c r="ZF1" s="1" t="s">
        <v>638</v>
      </c>
      <c r="ZG1" s="1" t="s">
        <v>639</v>
      </c>
      <c r="ZH1" s="1" t="s">
        <v>1579</v>
      </c>
      <c r="ZI1" s="1" t="s">
        <v>1580</v>
      </c>
      <c r="ZJ1" s="1" t="s">
        <v>1581</v>
      </c>
      <c r="ZK1" s="1" t="s">
        <v>640</v>
      </c>
      <c r="ZL1" s="1" t="s">
        <v>641</v>
      </c>
      <c r="ZM1" s="1" t="s">
        <v>642</v>
      </c>
      <c r="ZN1" s="1" t="s">
        <v>643</v>
      </c>
      <c r="ZO1" s="1" t="s">
        <v>644</v>
      </c>
      <c r="ZP1" s="1" t="s">
        <v>645</v>
      </c>
      <c r="ZQ1" s="1" t="s">
        <v>646</v>
      </c>
      <c r="ZR1" s="1" t="s">
        <v>647</v>
      </c>
      <c r="ZS1" s="1" t="s">
        <v>1582</v>
      </c>
      <c r="ZT1" s="1" t="s">
        <v>648</v>
      </c>
      <c r="ZU1" s="1" t="s">
        <v>649</v>
      </c>
      <c r="ZV1" s="1" t="s">
        <v>650</v>
      </c>
      <c r="ZW1" s="1" t="s">
        <v>651</v>
      </c>
      <c r="ZX1" s="1" t="s">
        <v>1583</v>
      </c>
      <c r="ZY1" s="1" t="s">
        <v>1584</v>
      </c>
      <c r="ZZ1" s="1" t="s">
        <v>1585</v>
      </c>
      <c r="AAA1" s="1" t="s">
        <v>1586</v>
      </c>
      <c r="AAB1" s="1" t="s">
        <v>1587</v>
      </c>
      <c r="AAC1" s="1" t="s">
        <v>1588</v>
      </c>
      <c r="AAD1" s="1" t="s">
        <v>1589</v>
      </c>
      <c r="AAE1" s="1" t="s">
        <v>1590</v>
      </c>
      <c r="AAF1" s="1" t="s">
        <v>1591</v>
      </c>
      <c r="AAG1" s="1" t="s">
        <v>1592</v>
      </c>
      <c r="AAH1" s="1" t="s">
        <v>1593</v>
      </c>
      <c r="AAI1" s="1" t="s">
        <v>1594</v>
      </c>
      <c r="AAJ1" s="1" t="s">
        <v>1595</v>
      </c>
      <c r="AAK1" s="1" t="s">
        <v>1596</v>
      </c>
      <c r="AAL1" s="1" t="s">
        <v>1597</v>
      </c>
      <c r="AAM1" s="1" t="s">
        <v>1598</v>
      </c>
      <c r="AAN1" s="1" t="s">
        <v>1599</v>
      </c>
      <c r="AAO1" s="1" t="s">
        <v>1600</v>
      </c>
      <c r="AAP1" s="1" t="s">
        <v>1601</v>
      </c>
      <c r="AAQ1" s="1" t="s">
        <v>1602</v>
      </c>
      <c r="AAR1" s="1" t="s">
        <v>1603</v>
      </c>
      <c r="AAS1" s="1" t="s">
        <v>1604</v>
      </c>
      <c r="AAT1" s="1" t="s">
        <v>1605</v>
      </c>
      <c r="AAU1" s="1" t="s">
        <v>1606</v>
      </c>
      <c r="AAV1" s="1" t="s">
        <v>670</v>
      </c>
      <c r="AAW1" s="1" t="s">
        <v>671</v>
      </c>
      <c r="AAX1" s="1" t="s">
        <v>672</v>
      </c>
      <c r="AAY1" s="1" t="s">
        <v>673</v>
      </c>
      <c r="AAZ1" s="1" t="s">
        <v>674</v>
      </c>
      <c r="ABA1" s="1" t="s">
        <v>675</v>
      </c>
      <c r="ABB1" s="1" t="s">
        <v>676</v>
      </c>
      <c r="ABC1" s="1" t="s">
        <v>677</v>
      </c>
      <c r="ABD1" s="1" t="s">
        <v>678</v>
      </c>
      <c r="ABE1" s="1" t="s">
        <v>652</v>
      </c>
      <c r="ABF1" s="1" t="s">
        <v>653</v>
      </c>
      <c r="ABG1" s="1" t="s">
        <v>654</v>
      </c>
      <c r="ABH1" s="1" t="s">
        <v>655</v>
      </c>
      <c r="ABI1" s="1" t="s">
        <v>656</v>
      </c>
      <c r="ABJ1" s="1" t="s">
        <v>657</v>
      </c>
      <c r="ABK1" s="1" t="s">
        <v>658</v>
      </c>
      <c r="ABL1" s="1" t="s">
        <v>659</v>
      </c>
      <c r="ABM1" s="1" t="s">
        <v>660</v>
      </c>
      <c r="ABN1" s="1" t="s">
        <v>661</v>
      </c>
      <c r="ABO1" s="1" t="s">
        <v>662</v>
      </c>
      <c r="ABP1" s="1" t="s">
        <v>663</v>
      </c>
      <c r="ABQ1" s="1" t="s">
        <v>664</v>
      </c>
      <c r="ABR1" s="1" t="s">
        <v>665</v>
      </c>
      <c r="ABS1" s="57" t="s">
        <v>666</v>
      </c>
      <c r="ABT1" s="1" t="s">
        <v>667</v>
      </c>
      <c r="ABU1" s="1" t="s">
        <v>668</v>
      </c>
      <c r="ABV1" s="1" t="s">
        <v>1607</v>
      </c>
      <c r="ABW1" s="1" t="s">
        <v>1608</v>
      </c>
      <c r="ABX1" s="1" t="s">
        <v>1609</v>
      </c>
      <c r="ABY1" s="1" t="s">
        <v>669</v>
      </c>
      <c r="ABZ1" s="1" t="s">
        <v>679</v>
      </c>
      <c r="ACA1" s="1" t="s">
        <v>680</v>
      </c>
      <c r="ACB1" s="1" t="s">
        <v>681</v>
      </c>
      <c r="ACC1" s="1" t="s">
        <v>682</v>
      </c>
      <c r="ACD1" s="1" t="s">
        <v>683</v>
      </c>
      <c r="ACE1" s="1" t="s">
        <v>684</v>
      </c>
      <c r="ACF1" s="1" t="s">
        <v>685</v>
      </c>
      <c r="ACG1" s="1" t="s">
        <v>686</v>
      </c>
      <c r="ACH1" s="1" t="s">
        <v>687</v>
      </c>
      <c r="ACI1" s="1" t="s">
        <v>688</v>
      </c>
      <c r="ACJ1" s="1" t="s">
        <v>689</v>
      </c>
      <c r="ACK1" s="1" t="s">
        <v>690</v>
      </c>
      <c r="ACL1" s="1" t="s">
        <v>691</v>
      </c>
      <c r="ACM1" s="1" t="s">
        <v>692</v>
      </c>
      <c r="ACN1" s="1" t="s">
        <v>693</v>
      </c>
      <c r="ACO1" s="1" t="s">
        <v>694</v>
      </c>
      <c r="ACP1" s="1" t="s">
        <v>695</v>
      </c>
      <c r="ACQ1" s="1" t="s">
        <v>696</v>
      </c>
      <c r="ACR1" s="1" t="s">
        <v>697</v>
      </c>
      <c r="ACS1" s="1" t="s">
        <v>698</v>
      </c>
      <c r="ACT1" s="1" t="s">
        <v>699</v>
      </c>
      <c r="ACU1" s="1" t="s">
        <v>700</v>
      </c>
      <c r="ACV1" s="1" t="s">
        <v>701</v>
      </c>
      <c r="ACW1" s="1" t="s">
        <v>702</v>
      </c>
      <c r="ACX1" s="1" t="s">
        <v>703</v>
      </c>
      <c r="ACY1" s="1" t="s">
        <v>704</v>
      </c>
      <c r="ACZ1" s="1" t="s">
        <v>705</v>
      </c>
      <c r="ADA1" s="1" t="s">
        <v>706</v>
      </c>
      <c r="ADB1" s="1" t="s">
        <v>707</v>
      </c>
      <c r="ADC1" s="1" t="s">
        <v>708</v>
      </c>
      <c r="ADD1" s="1" t="s">
        <v>709</v>
      </c>
      <c r="ADE1" s="1" t="s">
        <v>1610</v>
      </c>
      <c r="ADF1" s="1" t="s">
        <v>710</v>
      </c>
      <c r="ADG1" s="1" t="s">
        <v>711</v>
      </c>
      <c r="ADH1" s="1" t="s">
        <v>712</v>
      </c>
      <c r="ADI1" s="1" t="s">
        <v>713</v>
      </c>
      <c r="ADJ1" s="1" t="s">
        <v>714</v>
      </c>
      <c r="ADK1" s="57" t="s">
        <v>715</v>
      </c>
      <c r="ADL1" s="1" t="s">
        <v>716</v>
      </c>
      <c r="ADM1" s="1" t="s">
        <v>717</v>
      </c>
      <c r="ADN1" s="1" t="s">
        <v>718</v>
      </c>
      <c r="ADO1" s="1" t="s">
        <v>1611</v>
      </c>
      <c r="ADP1" s="1" t="s">
        <v>719</v>
      </c>
      <c r="ADQ1" s="1" t="s">
        <v>720</v>
      </c>
      <c r="ADR1" s="1" t="s">
        <v>721</v>
      </c>
      <c r="ADS1" s="1" t="s">
        <v>722</v>
      </c>
      <c r="ADT1" s="1" t="s">
        <v>723</v>
      </c>
      <c r="ADU1" s="1" t="s">
        <v>724</v>
      </c>
      <c r="ADV1" s="1" t="s">
        <v>725</v>
      </c>
      <c r="ADW1" s="1" t="s">
        <v>726</v>
      </c>
      <c r="ADX1" s="1" t="s">
        <v>727</v>
      </c>
      <c r="ADY1" s="1" t="s">
        <v>728</v>
      </c>
      <c r="ADZ1" s="1" t="s">
        <v>729</v>
      </c>
      <c r="AEA1" s="1" t="s">
        <v>730</v>
      </c>
      <c r="AEB1" s="1" t="s">
        <v>731</v>
      </c>
      <c r="AEC1" s="1" t="s">
        <v>732</v>
      </c>
      <c r="AED1" s="1" t="s">
        <v>733</v>
      </c>
      <c r="AEE1" s="1" t="s">
        <v>1612</v>
      </c>
      <c r="AEF1" s="1" t="s">
        <v>734</v>
      </c>
      <c r="AEG1" s="1" t="s">
        <v>735</v>
      </c>
      <c r="AEH1" s="1" t="s">
        <v>736</v>
      </c>
      <c r="AEI1" s="1" t="s">
        <v>737</v>
      </c>
      <c r="AEJ1" s="1" t="s">
        <v>738</v>
      </c>
      <c r="AEK1" s="1" t="s">
        <v>739</v>
      </c>
      <c r="AEL1" s="1" t="s">
        <v>740</v>
      </c>
      <c r="AEM1" s="1" t="s">
        <v>741</v>
      </c>
      <c r="AEN1" s="1" t="s">
        <v>742</v>
      </c>
      <c r="AEO1" s="1" t="s">
        <v>743</v>
      </c>
      <c r="AEP1" s="1" t="s">
        <v>744</v>
      </c>
      <c r="AEQ1" s="1" t="s">
        <v>745</v>
      </c>
      <c r="AER1" s="1" t="s">
        <v>746</v>
      </c>
      <c r="AES1" s="1" t="s">
        <v>747</v>
      </c>
      <c r="AET1" s="1" t="s">
        <v>748</v>
      </c>
      <c r="AEU1" s="1" t="s">
        <v>749</v>
      </c>
      <c r="AEV1" s="1" t="s">
        <v>750</v>
      </c>
      <c r="AEW1" s="1" t="s">
        <v>751</v>
      </c>
      <c r="AEX1" s="1" t="s">
        <v>752</v>
      </c>
      <c r="AEY1" s="1" t="s">
        <v>753</v>
      </c>
      <c r="AEZ1" s="1" t="s">
        <v>754</v>
      </c>
      <c r="AFA1" s="1" t="s">
        <v>755</v>
      </c>
      <c r="AFB1" s="1" t="s">
        <v>756</v>
      </c>
      <c r="AFC1" s="1" t="s">
        <v>757</v>
      </c>
      <c r="AFD1" s="1" t="s">
        <v>758</v>
      </c>
      <c r="AFE1" s="1" t="s">
        <v>759</v>
      </c>
      <c r="AFF1" s="1" t="s">
        <v>760</v>
      </c>
      <c r="AFG1" s="1" t="s">
        <v>761</v>
      </c>
      <c r="AFH1" s="1" t="s">
        <v>762</v>
      </c>
      <c r="AFI1" s="1" t="s">
        <v>763</v>
      </c>
      <c r="AFJ1" s="1" t="s">
        <v>764</v>
      </c>
      <c r="AFK1" s="1" t="s">
        <v>765</v>
      </c>
      <c r="AFL1" s="1" t="s">
        <v>766</v>
      </c>
      <c r="AFM1" s="1" t="s">
        <v>767</v>
      </c>
      <c r="AFN1" s="1" t="s">
        <v>768</v>
      </c>
      <c r="AFO1" s="1" t="s">
        <v>769</v>
      </c>
      <c r="AFP1" s="1" t="s">
        <v>770</v>
      </c>
      <c r="AFQ1" s="1" t="s">
        <v>771</v>
      </c>
      <c r="AFR1" s="1" t="s">
        <v>772</v>
      </c>
      <c r="AFS1" s="1" t="s">
        <v>773</v>
      </c>
      <c r="AFT1" s="1" t="s">
        <v>774</v>
      </c>
      <c r="AFU1" s="1" t="s">
        <v>775</v>
      </c>
      <c r="AFV1" s="1" t="s">
        <v>776</v>
      </c>
      <c r="AFW1" s="1" t="s">
        <v>777</v>
      </c>
      <c r="AFX1" s="1" t="s">
        <v>778</v>
      </c>
      <c r="AFY1" s="1" t="s">
        <v>779</v>
      </c>
      <c r="AFZ1" s="1" t="s">
        <v>780</v>
      </c>
      <c r="AGA1" s="1" t="s">
        <v>781</v>
      </c>
      <c r="AGB1" s="1" t="s">
        <v>782</v>
      </c>
      <c r="AGC1" s="1" t="s">
        <v>783</v>
      </c>
      <c r="AGD1" s="1" t="s">
        <v>784</v>
      </c>
      <c r="AGE1" s="1" t="s">
        <v>785</v>
      </c>
      <c r="AGF1" s="1" t="s">
        <v>786</v>
      </c>
      <c r="AGG1" s="1" t="s">
        <v>787</v>
      </c>
      <c r="AGH1" s="1" t="s">
        <v>788</v>
      </c>
      <c r="AGI1" s="1" t="s">
        <v>789</v>
      </c>
      <c r="AGJ1" s="1" t="s">
        <v>790</v>
      </c>
      <c r="AGK1" s="1" t="s">
        <v>791</v>
      </c>
      <c r="AGL1" s="1" t="s">
        <v>792</v>
      </c>
      <c r="AGM1" s="1" t="s">
        <v>793</v>
      </c>
      <c r="AGN1" s="1" t="s">
        <v>794</v>
      </c>
      <c r="AGO1" s="1" t="s">
        <v>795</v>
      </c>
      <c r="AGP1" s="1" t="s">
        <v>796</v>
      </c>
      <c r="AGQ1" s="1" t="s">
        <v>797</v>
      </c>
      <c r="AGR1" s="1" t="s">
        <v>798</v>
      </c>
      <c r="AGS1" s="1" t="s">
        <v>799</v>
      </c>
      <c r="AGT1" s="1" t="s">
        <v>800</v>
      </c>
      <c r="AGU1" s="1" t="s">
        <v>801</v>
      </c>
      <c r="AGV1" s="1" t="s">
        <v>802</v>
      </c>
      <c r="AGW1" s="1" t="s">
        <v>803</v>
      </c>
      <c r="AGX1" s="1" t="s">
        <v>804</v>
      </c>
      <c r="AGY1" s="1" t="s">
        <v>805</v>
      </c>
      <c r="AGZ1" s="1" t="s">
        <v>806</v>
      </c>
      <c r="AHA1" s="1" t="s">
        <v>807</v>
      </c>
      <c r="AHB1" s="1" t="s">
        <v>808</v>
      </c>
      <c r="AHC1" s="1" t="s">
        <v>809</v>
      </c>
      <c r="AHD1" s="1" t="s">
        <v>810</v>
      </c>
      <c r="AHE1" s="1" t="s">
        <v>811</v>
      </c>
      <c r="AHF1" s="1" t="s">
        <v>812</v>
      </c>
      <c r="AHG1" s="1" t="s">
        <v>813</v>
      </c>
      <c r="AHH1" s="1" t="s">
        <v>814</v>
      </c>
      <c r="AHI1" s="1" t="s">
        <v>815</v>
      </c>
      <c r="AHJ1" s="1" t="s">
        <v>816</v>
      </c>
      <c r="AHK1" s="1" t="s">
        <v>817</v>
      </c>
      <c r="AHL1" s="1" t="s">
        <v>818</v>
      </c>
      <c r="AHM1" s="1" t="s">
        <v>819</v>
      </c>
      <c r="AHN1" s="1" t="s">
        <v>820</v>
      </c>
      <c r="AHO1" s="1" t="s">
        <v>821</v>
      </c>
      <c r="AHP1" s="1" t="s">
        <v>822</v>
      </c>
      <c r="AHQ1" s="1" t="s">
        <v>823</v>
      </c>
      <c r="AHR1" s="1" t="s">
        <v>824</v>
      </c>
      <c r="AHS1" s="1" t="s">
        <v>825</v>
      </c>
      <c r="AHT1" s="1" t="s">
        <v>826</v>
      </c>
      <c r="AHU1" s="1" t="s">
        <v>827</v>
      </c>
      <c r="AHV1" s="1" t="s">
        <v>828</v>
      </c>
      <c r="AHW1" s="1" t="s">
        <v>829</v>
      </c>
      <c r="AHX1" s="1" t="s">
        <v>830</v>
      </c>
      <c r="AHY1" s="1" t="s">
        <v>831</v>
      </c>
      <c r="AHZ1" s="1" t="s">
        <v>832</v>
      </c>
      <c r="AIA1" s="1" t="s">
        <v>833</v>
      </c>
      <c r="AIB1" s="1" t="s">
        <v>834</v>
      </c>
      <c r="AIC1" s="1" t="s">
        <v>835</v>
      </c>
      <c r="AID1" s="1" t="s">
        <v>836</v>
      </c>
      <c r="AIE1" s="1" t="s">
        <v>837</v>
      </c>
      <c r="AIF1" s="57" t="s">
        <v>838</v>
      </c>
      <c r="AIG1" s="1" t="s">
        <v>839</v>
      </c>
      <c r="AIH1" s="1" t="s">
        <v>840</v>
      </c>
      <c r="AII1" s="1" t="s">
        <v>841</v>
      </c>
      <c r="AIJ1" s="1" t="s">
        <v>842</v>
      </c>
      <c r="AIK1" s="1" t="s">
        <v>843</v>
      </c>
      <c r="AIL1" s="1" t="s">
        <v>844</v>
      </c>
      <c r="AIM1" s="1" t="s">
        <v>845</v>
      </c>
      <c r="AIN1" s="1" t="s">
        <v>846</v>
      </c>
      <c r="AIO1" s="1" t="s">
        <v>847</v>
      </c>
      <c r="AIP1" s="1" t="s">
        <v>848</v>
      </c>
      <c r="AIQ1" s="1" t="s">
        <v>849</v>
      </c>
      <c r="AIR1" s="1" t="s">
        <v>850</v>
      </c>
      <c r="AIS1" s="57" t="s">
        <v>1983</v>
      </c>
      <c r="AIT1" s="1" t="s">
        <v>851</v>
      </c>
      <c r="AIU1" s="1" t="s">
        <v>852</v>
      </c>
      <c r="AIV1" s="1" t="s">
        <v>853</v>
      </c>
      <c r="AIW1" s="1" t="s">
        <v>854</v>
      </c>
      <c r="AIX1" s="1" t="s">
        <v>1613</v>
      </c>
      <c r="AIY1" s="1" t="s">
        <v>855</v>
      </c>
      <c r="AIZ1" s="1" t="s">
        <v>856</v>
      </c>
      <c r="AJA1" s="1" t="s">
        <v>857</v>
      </c>
      <c r="AJB1" s="1" t="s">
        <v>858</v>
      </c>
      <c r="AJC1" s="1" t="s">
        <v>859</v>
      </c>
      <c r="AJD1" s="1" t="s">
        <v>860</v>
      </c>
      <c r="AJE1" s="1" t="s">
        <v>861</v>
      </c>
      <c r="AJF1" s="1" t="s">
        <v>862</v>
      </c>
      <c r="AJG1" s="1" t="s">
        <v>863</v>
      </c>
      <c r="AJH1" s="1" t="s">
        <v>864</v>
      </c>
      <c r="AJI1" s="1" t="s">
        <v>865</v>
      </c>
      <c r="AJJ1" s="1" t="s">
        <v>866</v>
      </c>
      <c r="AJK1" s="1" t="s">
        <v>867</v>
      </c>
      <c r="AJL1" s="1" t="s">
        <v>868</v>
      </c>
      <c r="AJM1" s="1" t="s">
        <v>869</v>
      </c>
      <c r="AJN1" s="1" t="s">
        <v>870</v>
      </c>
      <c r="AJO1" s="1" t="s">
        <v>871</v>
      </c>
      <c r="AJP1" s="1" t="s">
        <v>872</v>
      </c>
      <c r="AJQ1" s="1" t="s">
        <v>873</v>
      </c>
      <c r="AJR1" s="1" t="s">
        <v>874</v>
      </c>
      <c r="AJS1" s="1" t="s">
        <v>875</v>
      </c>
      <c r="AJT1" s="1" t="s">
        <v>876</v>
      </c>
      <c r="AJU1" s="1" t="s">
        <v>877</v>
      </c>
      <c r="AJV1" s="1" t="s">
        <v>878</v>
      </c>
      <c r="AJW1" s="1" t="s">
        <v>879</v>
      </c>
      <c r="AJX1" s="1" t="s">
        <v>880</v>
      </c>
      <c r="AJY1" s="1" t="s">
        <v>881</v>
      </c>
      <c r="AJZ1" s="1" t="s">
        <v>882</v>
      </c>
      <c r="AKA1" s="1" t="s">
        <v>883</v>
      </c>
      <c r="AKB1" s="1" t="s">
        <v>884</v>
      </c>
      <c r="AKC1" s="1" t="s">
        <v>885</v>
      </c>
      <c r="AKD1" s="1" t="s">
        <v>886</v>
      </c>
      <c r="AKE1" s="1" t="s">
        <v>887</v>
      </c>
      <c r="AKF1" s="1" t="s">
        <v>888</v>
      </c>
      <c r="AKG1" s="1" t="s">
        <v>889</v>
      </c>
      <c r="AKH1" s="1" t="s">
        <v>890</v>
      </c>
      <c r="AKI1" s="1" t="s">
        <v>891</v>
      </c>
      <c r="AKJ1" s="1" t="s">
        <v>892</v>
      </c>
      <c r="AKK1" s="1" t="s">
        <v>893</v>
      </c>
      <c r="AKL1" s="1" t="s">
        <v>894</v>
      </c>
      <c r="AKM1" s="1" t="s">
        <v>895</v>
      </c>
      <c r="AKN1" s="1" t="s">
        <v>896</v>
      </c>
      <c r="AKO1" s="1" t="s">
        <v>897</v>
      </c>
      <c r="AKP1" s="1" t="s">
        <v>898</v>
      </c>
      <c r="AKQ1" s="1" t="s">
        <v>899</v>
      </c>
      <c r="AKR1" s="1" t="s">
        <v>900</v>
      </c>
      <c r="AKS1" s="1" t="s">
        <v>901</v>
      </c>
      <c r="AKT1" s="1" t="s">
        <v>1614</v>
      </c>
      <c r="AKU1" s="1" t="s">
        <v>912</v>
      </c>
      <c r="AKV1" s="1" t="s">
        <v>913</v>
      </c>
      <c r="AKW1" s="1" t="s">
        <v>914</v>
      </c>
      <c r="AKX1" s="1" t="s">
        <v>915</v>
      </c>
      <c r="AKY1" s="1" t="s">
        <v>916</v>
      </c>
      <c r="AKZ1" s="1" t="s">
        <v>917</v>
      </c>
      <c r="ALA1" s="1" t="s">
        <v>918</v>
      </c>
      <c r="ALB1" s="1" t="s">
        <v>919</v>
      </c>
      <c r="ALC1" s="1" t="s">
        <v>920</v>
      </c>
      <c r="ALD1" s="1" t="s">
        <v>921</v>
      </c>
      <c r="ALE1" s="1" t="s">
        <v>1615</v>
      </c>
      <c r="ALF1" s="1" t="s">
        <v>937</v>
      </c>
      <c r="ALG1" s="1" t="s">
        <v>938</v>
      </c>
      <c r="ALH1" s="1" t="s">
        <v>939</v>
      </c>
      <c r="ALI1" s="1" t="s">
        <v>940</v>
      </c>
      <c r="ALJ1" s="1" t="s">
        <v>941</v>
      </c>
      <c r="ALK1" s="1" t="s">
        <v>942</v>
      </c>
      <c r="ALL1" s="1" t="s">
        <v>943</v>
      </c>
      <c r="ALM1" s="1" t="s">
        <v>944</v>
      </c>
      <c r="ALN1" s="1" t="s">
        <v>902</v>
      </c>
      <c r="ALO1" s="1" t="s">
        <v>903</v>
      </c>
      <c r="ALP1" s="1" t="s">
        <v>904</v>
      </c>
      <c r="ALQ1" s="1" t="s">
        <v>905</v>
      </c>
      <c r="ALR1" s="1" t="s">
        <v>906</v>
      </c>
      <c r="ALS1" s="1" t="s">
        <v>907</v>
      </c>
      <c r="ALT1" s="1" t="s">
        <v>908</v>
      </c>
      <c r="ALU1" s="1" t="s">
        <v>909</v>
      </c>
      <c r="ALV1" s="1" t="s">
        <v>910</v>
      </c>
      <c r="ALW1" s="1" t="s">
        <v>911</v>
      </c>
      <c r="ALX1" s="1" t="s">
        <v>922</v>
      </c>
      <c r="ALY1" s="1" t="s">
        <v>923</v>
      </c>
      <c r="ALZ1" s="1" t="s">
        <v>924</v>
      </c>
      <c r="AMA1" s="1" t="s">
        <v>925</v>
      </c>
      <c r="AMB1" s="1" t="s">
        <v>926</v>
      </c>
      <c r="AMC1" s="1" t="s">
        <v>927</v>
      </c>
      <c r="AMD1" s="1" t="s">
        <v>928</v>
      </c>
      <c r="AME1" s="1" t="s">
        <v>929</v>
      </c>
      <c r="AMF1" s="1" t="s">
        <v>930</v>
      </c>
      <c r="AMG1" s="1" t="s">
        <v>931</v>
      </c>
      <c r="AMH1" s="1" t="s">
        <v>932</v>
      </c>
      <c r="AMI1" s="1" t="s">
        <v>933</v>
      </c>
      <c r="AMJ1" s="1" t="s">
        <v>934</v>
      </c>
      <c r="AMK1" s="1" t="s">
        <v>935</v>
      </c>
      <c r="AML1" s="1" t="s">
        <v>936</v>
      </c>
      <c r="AMM1" s="1" t="s">
        <v>945</v>
      </c>
      <c r="AMN1" s="1" t="s">
        <v>946</v>
      </c>
      <c r="AMO1" s="1" t="s">
        <v>947</v>
      </c>
      <c r="AMP1" s="1" t="s">
        <v>948</v>
      </c>
      <c r="AMQ1" s="1" t="s">
        <v>949</v>
      </c>
      <c r="AMR1" s="1" t="s">
        <v>950</v>
      </c>
      <c r="AMS1" s="1" t="s">
        <v>951</v>
      </c>
      <c r="AMT1" s="1" t="s">
        <v>952</v>
      </c>
      <c r="AMU1" s="1" t="s">
        <v>953</v>
      </c>
      <c r="AMV1" s="1" t="s">
        <v>954</v>
      </c>
      <c r="AMW1" s="1" t="s">
        <v>955</v>
      </c>
      <c r="AMX1" s="1" t="s">
        <v>956</v>
      </c>
      <c r="AMY1" s="1" t="s">
        <v>957</v>
      </c>
      <c r="AMZ1" s="1" t="s">
        <v>958</v>
      </c>
      <c r="ANA1" s="1" t="s">
        <v>959</v>
      </c>
      <c r="ANB1" s="1" t="s">
        <v>960</v>
      </c>
      <c r="ANC1" s="1" t="s">
        <v>961</v>
      </c>
      <c r="AND1" s="1" t="s">
        <v>962</v>
      </c>
      <c r="ANE1" s="1" t="s">
        <v>963</v>
      </c>
      <c r="ANF1" s="1" t="s">
        <v>964</v>
      </c>
      <c r="ANG1" s="1" t="s">
        <v>965</v>
      </c>
      <c r="ANH1" s="1" t="s">
        <v>966</v>
      </c>
      <c r="ANI1" s="1" t="s">
        <v>967</v>
      </c>
      <c r="ANJ1" s="1" t="s">
        <v>968</v>
      </c>
      <c r="ANK1" s="1" t="s">
        <v>969</v>
      </c>
      <c r="ANL1" s="1" t="s">
        <v>970</v>
      </c>
      <c r="ANM1" s="1" t="s">
        <v>971</v>
      </c>
      <c r="ANN1" s="1" t="s">
        <v>972</v>
      </c>
      <c r="ANO1" s="1" t="s">
        <v>973</v>
      </c>
      <c r="ANP1" s="57" t="s">
        <v>974</v>
      </c>
      <c r="ANQ1" s="1" t="s">
        <v>975</v>
      </c>
      <c r="ANR1" s="1" t="s">
        <v>976</v>
      </c>
      <c r="ANS1" s="1" t="s">
        <v>977</v>
      </c>
      <c r="ANT1" s="1" t="s">
        <v>978</v>
      </c>
      <c r="ANU1" s="1" t="s">
        <v>979</v>
      </c>
      <c r="ANV1" s="1" t="s">
        <v>1616</v>
      </c>
      <c r="ANW1" s="1" t="s">
        <v>980</v>
      </c>
      <c r="ANX1" s="1" t="s">
        <v>981</v>
      </c>
      <c r="ANY1" s="1" t="s">
        <v>982</v>
      </c>
      <c r="ANZ1" s="1" t="s">
        <v>983</v>
      </c>
      <c r="AOA1" s="1" t="s">
        <v>984</v>
      </c>
      <c r="AOB1" s="1" t="s">
        <v>985</v>
      </c>
      <c r="AOC1" s="1" t="s">
        <v>986</v>
      </c>
      <c r="AOD1" s="1" t="s">
        <v>987</v>
      </c>
      <c r="AOE1" s="1" t="s">
        <v>988</v>
      </c>
      <c r="AOF1" s="1" t="s">
        <v>989</v>
      </c>
      <c r="AOG1" s="1" t="s">
        <v>990</v>
      </c>
      <c r="AOH1" s="1" t="s">
        <v>991</v>
      </c>
      <c r="AOI1" s="1" t="s">
        <v>992</v>
      </c>
      <c r="AOJ1" s="1" t="s">
        <v>993</v>
      </c>
      <c r="AOK1" s="1" t="s">
        <v>994</v>
      </c>
      <c r="AOL1" s="1" t="s">
        <v>995</v>
      </c>
      <c r="AOM1" s="1" t="s">
        <v>996</v>
      </c>
      <c r="AON1" s="1" t="s">
        <v>997</v>
      </c>
      <c r="AOO1" s="1" t="s">
        <v>998</v>
      </c>
      <c r="AOP1" s="1" t="s">
        <v>999</v>
      </c>
      <c r="AOQ1" s="1" t="s">
        <v>1000</v>
      </c>
      <c r="AOR1" s="1" t="s">
        <v>1001</v>
      </c>
      <c r="AOS1" s="1" t="s">
        <v>1002</v>
      </c>
      <c r="AOT1" s="1" t="s">
        <v>1003</v>
      </c>
      <c r="AOU1" s="1" t="s">
        <v>1004</v>
      </c>
      <c r="AOV1" s="1" t="s">
        <v>1005</v>
      </c>
      <c r="AOW1" s="1" t="s">
        <v>1006</v>
      </c>
      <c r="AOX1" s="1" t="s">
        <v>1007</v>
      </c>
      <c r="AOY1" s="1" t="s">
        <v>1008</v>
      </c>
      <c r="AOZ1" s="1" t="s">
        <v>1009</v>
      </c>
      <c r="APA1" s="1" t="s">
        <v>1010</v>
      </c>
      <c r="APB1" s="1" t="s">
        <v>1011</v>
      </c>
      <c r="APC1" s="1" t="s">
        <v>1012</v>
      </c>
      <c r="APD1" s="1" t="s">
        <v>1013</v>
      </c>
      <c r="APE1" s="1" t="s">
        <v>1014</v>
      </c>
      <c r="APF1" s="1" t="s">
        <v>1015</v>
      </c>
      <c r="APG1" s="1" t="s">
        <v>1016</v>
      </c>
      <c r="APH1" s="1" t="s">
        <v>1017</v>
      </c>
      <c r="API1" s="1" t="s">
        <v>1018</v>
      </c>
      <c r="APJ1" s="1" t="s">
        <v>1019</v>
      </c>
      <c r="APK1" s="1" t="s">
        <v>1020</v>
      </c>
      <c r="APL1" s="1" t="s">
        <v>1021</v>
      </c>
      <c r="APM1" s="1" t="s">
        <v>1022</v>
      </c>
      <c r="APN1" s="1" t="s">
        <v>1023</v>
      </c>
      <c r="APO1" s="1" t="s">
        <v>1024</v>
      </c>
      <c r="APP1" s="1" t="s">
        <v>1025</v>
      </c>
      <c r="APQ1" s="1" t="s">
        <v>1026</v>
      </c>
      <c r="APR1" s="1" t="s">
        <v>1027</v>
      </c>
      <c r="APS1" s="1" t="s">
        <v>1028</v>
      </c>
      <c r="APT1" s="1" t="s">
        <v>1029</v>
      </c>
      <c r="APU1" s="1" t="s">
        <v>1030</v>
      </c>
      <c r="APV1" s="1" t="s">
        <v>1031</v>
      </c>
      <c r="APW1" s="1" t="s">
        <v>1032</v>
      </c>
      <c r="APX1" s="1" t="s">
        <v>1033</v>
      </c>
      <c r="APY1" s="1" t="s">
        <v>1034</v>
      </c>
      <c r="APZ1" s="1" t="s">
        <v>1617</v>
      </c>
      <c r="AQA1" s="1" t="s">
        <v>1618</v>
      </c>
      <c r="AQB1" s="1" t="s">
        <v>1619</v>
      </c>
      <c r="AQC1" s="1" t="s">
        <v>1620</v>
      </c>
      <c r="AQD1" s="1" t="s">
        <v>1621</v>
      </c>
      <c r="AQE1" s="1" t="s">
        <v>1622</v>
      </c>
      <c r="AQF1" s="1" t="s">
        <v>1623</v>
      </c>
      <c r="AQG1" s="1" t="s">
        <v>1624</v>
      </c>
      <c r="AQH1" s="1" t="s">
        <v>1625</v>
      </c>
      <c r="AQI1" s="1" t="s">
        <v>1626</v>
      </c>
      <c r="AQJ1" s="1" t="s">
        <v>1627</v>
      </c>
      <c r="AQK1" s="1" t="s">
        <v>1628</v>
      </c>
      <c r="AQL1" s="1" t="s">
        <v>1629</v>
      </c>
      <c r="AQM1" s="1" t="s">
        <v>1630</v>
      </c>
      <c r="AQN1" s="1" t="s">
        <v>1631</v>
      </c>
      <c r="AQO1" s="1" t="s">
        <v>1632</v>
      </c>
      <c r="AQP1" s="1" t="s">
        <v>1633</v>
      </c>
      <c r="AQQ1" s="1" t="s">
        <v>1634</v>
      </c>
      <c r="AQR1" s="1" t="s">
        <v>1635</v>
      </c>
      <c r="AQS1" s="1" t="s">
        <v>1636</v>
      </c>
      <c r="AQT1" s="1" t="s">
        <v>1637</v>
      </c>
      <c r="AQU1" s="1" t="s">
        <v>1638</v>
      </c>
      <c r="AQV1" s="1" t="s">
        <v>1639</v>
      </c>
      <c r="AQW1" s="1" t="s">
        <v>1640</v>
      </c>
      <c r="AQX1" s="1" t="s">
        <v>1641</v>
      </c>
      <c r="AQY1" s="1" t="s">
        <v>1642</v>
      </c>
      <c r="AQZ1" s="1" t="s">
        <v>1643</v>
      </c>
      <c r="ARA1" s="1" t="s">
        <v>1644</v>
      </c>
      <c r="ARB1" s="1" t="s">
        <v>1645</v>
      </c>
      <c r="ARC1" s="1" t="s">
        <v>1646</v>
      </c>
      <c r="ARD1" s="2" t="s">
        <v>1647</v>
      </c>
      <c r="ARE1" s="1" t="s">
        <v>1648</v>
      </c>
      <c r="ARF1" s="1" t="s">
        <v>1649</v>
      </c>
      <c r="ARG1" s="1" t="s">
        <v>1035</v>
      </c>
      <c r="ARH1" s="1" t="s">
        <v>1036</v>
      </c>
      <c r="ARI1" s="1" t="s">
        <v>1037</v>
      </c>
      <c r="ARJ1" s="1" t="s">
        <v>1038</v>
      </c>
      <c r="ARK1" s="57" t="s">
        <v>1039</v>
      </c>
      <c r="ARL1" s="1" t="s">
        <v>1040</v>
      </c>
      <c r="ARM1" s="1" t="s">
        <v>1041</v>
      </c>
      <c r="ARN1" s="1" t="s">
        <v>1042</v>
      </c>
      <c r="ARO1" s="1" t="s">
        <v>1043</v>
      </c>
      <c r="ARP1" s="1" t="s">
        <v>1044</v>
      </c>
      <c r="ARQ1" s="1" t="s">
        <v>1650</v>
      </c>
      <c r="ARR1" s="1" t="s">
        <v>1651</v>
      </c>
      <c r="ARS1" s="1" t="s">
        <v>1652</v>
      </c>
      <c r="ART1" s="1" t="s">
        <v>1045</v>
      </c>
      <c r="ARU1" s="1" t="s">
        <v>1046</v>
      </c>
      <c r="ARV1" s="1" t="s">
        <v>1047</v>
      </c>
      <c r="ARW1" s="1" t="s">
        <v>1048</v>
      </c>
      <c r="ARX1" s="1" t="s">
        <v>1049</v>
      </c>
      <c r="ARY1" s="1" t="s">
        <v>1050</v>
      </c>
      <c r="ARZ1" s="1" t="s">
        <v>1051</v>
      </c>
      <c r="ASA1" s="1" t="s">
        <v>1052</v>
      </c>
      <c r="ASB1" s="1" t="s">
        <v>1053</v>
      </c>
      <c r="ASC1" s="1" t="s">
        <v>1054</v>
      </c>
      <c r="ASD1" s="1" t="s">
        <v>1055</v>
      </c>
      <c r="ASE1" s="1" t="s">
        <v>1056</v>
      </c>
      <c r="ASF1" s="1" t="s">
        <v>1057</v>
      </c>
      <c r="ASG1" s="1" t="s">
        <v>1058</v>
      </c>
      <c r="ASH1" s="1" t="s">
        <v>1059</v>
      </c>
      <c r="ASI1" s="1" t="s">
        <v>1060</v>
      </c>
      <c r="ASJ1" s="1" t="s">
        <v>1061</v>
      </c>
      <c r="ASK1" s="1" t="s">
        <v>1062</v>
      </c>
      <c r="ASL1" s="1" t="s">
        <v>1063</v>
      </c>
      <c r="ASM1" s="1" t="s">
        <v>1064</v>
      </c>
      <c r="ASN1" s="1" t="s">
        <v>1065</v>
      </c>
      <c r="ASO1" s="1" t="s">
        <v>1066</v>
      </c>
      <c r="ASP1" s="1" t="s">
        <v>1067</v>
      </c>
      <c r="ASQ1" s="1" t="s">
        <v>1068</v>
      </c>
      <c r="ASR1" s="1" t="s">
        <v>1069</v>
      </c>
      <c r="ASS1" s="1" t="s">
        <v>1070</v>
      </c>
      <c r="AST1" s="1" t="s">
        <v>1071</v>
      </c>
      <c r="ASU1" s="1" t="s">
        <v>1072</v>
      </c>
      <c r="ASV1" s="1" t="s">
        <v>1073</v>
      </c>
      <c r="ASW1" s="1" t="s">
        <v>1074</v>
      </c>
      <c r="ASX1" s="1" t="s">
        <v>1075</v>
      </c>
      <c r="ASY1" s="1" t="s">
        <v>1076</v>
      </c>
      <c r="ASZ1" s="1" t="s">
        <v>1077</v>
      </c>
      <c r="ATA1" s="1" t="s">
        <v>1078</v>
      </c>
      <c r="ATB1" s="1" t="s">
        <v>1079</v>
      </c>
      <c r="ATC1" s="1" t="s">
        <v>1080</v>
      </c>
      <c r="ATD1" s="1" t="s">
        <v>1081</v>
      </c>
      <c r="ATE1" s="1" t="s">
        <v>1082</v>
      </c>
      <c r="ATF1" s="1" t="s">
        <v>1083</v>
      </c>
      <c r="ATG1" s="1" t="s">
        <v>1084</v>
      </c>
      <c r="ATH1" s="1" t="s">
        <v>1653</v>
      </c>
      <c r="ATI1" s="1" t="s">
        <v>1085</v>
      </c>
      <c r="ATJ1" s="1" t="s">
        <v>1086</v>
      </c>
      <c r="ATK1" s="1" t="s">
        <v>1087</v>
      </c>
      <c r="ATL1" s="1" t="s">
        <v>1088</v>
      </c>
      <c r="ATM1" s="1" t="s">
        <v>1089</v>
      </c>
      <c r="ATN1" s="1" t="s">
        <v>1090</v>
      </c>
      <c r="ATO1" s="1" t="s">
        <v>1091</v>
      </c>
      <c r="ATP1" s="1" t="s">
        <v>1092</v>
      </c>
      <c r="ATQ1" s="1" t="s">
        <v>1093</v>
      </c>
      <c r="ATR1" s="1" t="s">
        <v>1094</v>
      </c>
      <c r="ATS1" s="1" t="s">
        <v>1095</v>
      </c>
      <c r="ATT1" s="1" t="s">
        <v>1096</v>
      </c>
      <c r="ATU1" s="1" t="s">
        <v>1097</v>
      </c>
      <c r="ATV1" s="1" t="s">
        <v>1098</v>
      </c>
      <c r="ATW1" s="1" t="s">
        <v>1099</v>
      </c>
      <c r="ATX1" s="1" t="s">
        <v>1100</v>
      </c>
      <c r="ATY1" s="1" t="s">
        <v>1101</v>
      </c>
      <c r="ATZ1" s="1" t="s">
        <v>1102</v>
      </c>
      <c r="AUA1" s="1" t="s">
        <v>1103</v>
      </c>
      <c r="AUB1" s="1" t="s">
        <v>1104</v>
      </c>
      <c r="AUC1" s="1" t="s">
        <v>1105</v>
      </c>
      <c r="AUD1" s="1" t="s">
        <v>1106</v>
      </c>
      <c r="AUE1" s="1" t="s">
        <v>1107</v>
      </c>
      <c r="AUF1" s="1" t="s">
        <v>1108</v>
      </c>
      <c r="AUG1" s="1" t="s">
        <v>1109</v>
      </c>
      <c r="AUH1" s="1" t="s">
        <v>1110</v>
      </c>
      <c r="AUI1" s="1" t="s">
        <v>1111</v>
      </c>
      <c r="AUJ1" s="1" t="s">
        <v>1112</v>
      </c>
      <c r="AUK1" s="1" t="s">
        <v>1113</v>
      </c>
      <c r="AUL1" s="1" t="s">
        <v>1114</v>
      </c>
      <c r="AUM1" s="1" t="s">
        <v>1115</v>
      </c>
      <c r="AUN1" s="1" t="s">
        <v>1116</v>
      </c>
      <c r="AUO1" s="1" t="s">
        <v>1117</v>
      </c>
      <c r="AUP1" s="1" t="s">
        <v>1118</v>
      </c>
      <c r="AUQ1" s="1" t="s">
        <v>1119</v>
      </c>
      <c r="AUR1" s="1" t="s">
        <v>1120</v>
      </c>
      <c r="AUS1" s="1" t="s">
        <v>1121</v>
      </c>
      <c r="AUT1" s="1" t="s">
        <v>1122</v>
      </c>
      <c r="AUU1" s="1" t="s">
        <v>1123</v>
      </c>
      <c r="AUV1" s="1" t="s">
        <v>1124</v>
      </c>
      <c r="AUW1" s="1" t="s">
        <v>1125</v>
      </c>
      <c r="AUX1" s="1" t="s">
        <v>1126</v>
      </c>
      <c r="AUY1" s="1" t="s">
        <v>1127</v>
      </c>
      <c r="AUZ1" s="1" t="s">
        <v>1128</v>
      </c>
      <c r="AVA1" s="1" t="s">
        <v>1129</v>
      </c>
      <c r="AVB1" s="1" t="s">
        <v>1130</v>
      </c>
      <c r="AVC1" s="1" t="s">
        <v>1131</v>
      </c>
      <c r="AVD1" s="1" t="s">
        <v>1132</v>
      </c>
      <c r="AVE1" s="1" t="s">
        <v>1133</v>
      </c>
      <c r="AVF1" s="1" t="s">
        <v>1134</v>
      </c>
      <c r="AVG1" s="1" t="s">
        <v>1135</v>
      </c>
      <c r="AVH1" s="1" t="s">
        <v>1136</v>
      </c>
      <c r="AVI1" s="1" t="s">
        <v>1137</v>
      </c>
      <c r="AVJ1" s="1" t="s">
        <v>1138</v>
      </c>
      <c r="AVK1" s="1" t="s">
        <v>1139</v>
      </c>
      <c r="AVL1" s="1" t="s">
        <v>1140</v>
      </c>
      <c r="AVM1" s="1" t="s">
        <v>1141</v>
      </c>
      <c r="AVN1" s="1" t="s">
        <v>1142</v>
      </c>
      <c r="AVO1" s="1" t="s">
        <v>1143</v>
      </c>
      <c r="AVP1" s="1" t="s">
        <v>1144</v>
      </c>
      <c r="AVQ1" s="1" t="s">
        <v>1145</v>
      </c>
      <c r="AVR1" s="57" t="s">
        <v>1146</v>
      </c>
      <c r="AVS1" s="1" t="s">
        <v>1147</v>
      </c>
      <c r="AVT1" s="1" t="s">
        <v>1148</v>
      </c>
      <c r="AVU1" s="1" t="s">
        <v>1150</v>
      </c>
      <c r="AVV1" s="1" t="s">
        <v>1151</v>
      </c>
      <c r="AVW1" s="1" t="s">
        <v>1152</v>
      </c>
    </row>
    <row r="2" spans="1:1271" s="1" customFormat="1" ht="14" x14ac:dyDescent="0.3">
      <c r="A2" s="1" t="s">
        <v>3087</v>
      </c>
      <c r="B2" s="1" t="s">
        <v>3088</v>
      </c>
      <c r="C2" s="1" t="s">
        <v>3089</v>
      </c>
      <c r="D2" s="1" t="s">
        <v>1775</v>
      </c>
      <c r="E2" s="2">
        <v>356676102907869</v>
      </c>
      <c r="F2" s="1" t="s">
        <v>1754</v>
      </c>
      <c r="H2" s="2"/>
      <c r="I2" s="1" t="s">
        <v>1659</v>
      </c>
      <c r="J2" s="1" t="s">
        <v>3090</v>
      </c>
      <c r="K2" s="1" t="s">
        <v>3090</v>
      </c>
      <c r="N2" s="1" t="s">
        <v>1160</v>
      </c>
      <c r="O2" s="2">
        <v>0</v>
      </c>
      <c r="P2" s="2">
        <v>0</v>
      </c>
      <c r="Q2" s="2">
        <v>0</v>
      </c>
      <c r="R2" s="2">
        <v>0</v>
      </c>
      <c r="S2" s="2">
        <v>1</v>
      </c>
      <c r="AKT2" s="1" t="s">
        <v>3237</v>
      </c>
      <c r="AKU2" s="1" t="s">
        <v>1156</v>
      </c>
      <c r="ALF2" s="1" t="s">
        <v>1155</v>
      </c>
      <c r="ALG2" s="1" t="s">
        <v>1156</v>
      </c>
      <c r="ALN2" s="1" t="s">
        <v>2912</v>
      </c>
      <c r="ALO2" s="2">
        <v>1</v>
      </c>
      <c r="ALP2" s="2">
        <v>0</v>
      </c>
      <c r="ALQ2" s="2">
        <v>1</v>
      </c>
      <c r="ALR2" s="2">
        <v>0</v>
      </c>
      <c r="ALS2" s="2">
        <v>0</v>
      </c>
      <c r="ALT2" s="2">
        <v>0</v>
      </c>
      <c r="ALU2" s="2">
        <v>0</v>
      </c>
      <c r="ALV2" s="2">
        <v>0</v>
      </c>
      <c r="ALX2" s="1" t="s">
        <v>3091</v>
      </c>
      <c r="ALY2" s="2">
        <v>0</v>
      </c>
      <c r="ALZ2" s="2">
        <v>0</v>
      </c>
      <c r="AMA2" s="2">
        <v>1</v>
      </c>
      <c r="AMB2" s="2">
        <v>0</v>
      </c>
      <c r="AMC2" s="2">
        <v>0</v>
      </c>
      <c r="AMD2" s="2">
        <v>0</v>
      </c>
      <c r="AME2" s="2">
        <v>0</v>
      </c>
      <c r="AMF2" s="1" t="s">
        <v>1719</v>
      </c>
      <c r="AMG2" s="2">
        <v>1</v>
      </c>
      <c r="AMH2" s="2">
        <v>0</v>
      </c>
      <c r="AMI2" s="2">
        <v>0</v>
      </c>
      <c r="AMJ2" s="2">
        <v>0</v>
      </c>
      <c r="AMK2" s="2">
        <v>0</v>
      </c>
      <c r="AMM2" s="1" t="s">
        <v>1155</v>
      </c>
      <c r="AMW2" s="2">
        <v>3</v>
      </c>
      <c r="AMX2" s="1" t="s">
        <v>1156</v>
      </c>
      <c r="AMY2" s="1" t="s">
        <v>1166</v>
      </c>
      <c r="ANK2" s="1" t="s">
        <v>3092</v>
      </c>
      <c r="ANL2" s="2">
        <v>1</v>
      </c>
      <c r="ANM2" s="2">
        <v>0</v>
      </c>
      <c r="ANN2" s="2">
        <v>0</v>
      </c>
      <c r="ANO2" s="2">
        <v>0</v>
      </c>
      <c r="ANP2" s="2">
        <v>0</v>
      </c>
      <c r="ANQ2" s="2">
        <v>0</v>
      </c>
      <c r="ANR2" s="2">
        <v>0</v>
      </c>
      <c r="ANS2" s="2">
        <v>0</v>
      </c>
      <c r="ANT2" s="2">
        <v>0</v>
      </c>
      <c r="ANU2" s="2">
        <v>0</v>
      </c>
      <c r="ANV2" s="2">
        <v>1</v>
      </c>
      <c r="ANX2" s="1" t="s">
        <v>1155</v>
      </c>
      <c r="ANZ2" s="1" t="s">
        <v>2983</v>
      </c>
      <c r="AOA2" s="2">
        <v>1</v>
      </c>
      <c r="AOB2" s="2">
        <v>0</v>
      </c>
      <c r="AOC2" s="2">
        <v>0</v>
      </c>
      <c r="AOD2" s="2">
        <v>0</v>
      </c>
      <c r="AOE2" s="2">
        <v>0</v>
      </c>
      <c r="AOF2" s="2">
        <v>0</v>
      </c>
      <c r="AOG2" s="2">
        <v>0</v>
      </c>
      <c r="AOH2" s="2">
        <v>0</v>
      </c>
      <c r="AOJ2" s="1" t="s">
        <v>1167</v>
      </c>
      <c r="AOL2" s="1" t="s">
        <v>1168</v>
      </c>
      <c r="AOO2" s="1" t="s">
        <v>2983</v>
      </c>
      <c r="AOP2" s="2">
        <v>1</v>
      </c>
      <c r="AOQ2" s="2">
        <v>0</v>
      </c>
      <c r="AOR2" s="2">
        <v>0</v>
      </c>
      <c r="AOS2" s="2">
        <v>0</v>
      </c>
      <c r="AOT2" s="2">
        <v>0</v>
      </c>
      <c r="AOU2" s="2">
        <v>0</v>
      </c>
      <c r="AOV2" s="2">
        <v>0</v>
      </c>
      <c r="AOW2" s="2">
        <v>0</v>
      </c>
      <c r="AOY2" s="1" t="s">
        <v>1167</v>
      </c>
      <c r="APA2" s="1" t="s">
        <v>1168</v>
      </c>
      <c r="APD2" s="2">
        <v>20</v>
      </c>
      <c r="APF2" s="1" t="s">
        <v>1156</v>
      </c>
      <c r="APG2" s="1" t="s">
        <v>1166</v>
      </c>
      <c r="APQ2" s="1" t="s">
        <v>2590</v>
      </c>
      <c r="APR2" s="2">
        <v>1</v>
      </c>
      <c r="APS2" s="2">
        <v>0</v>
      </c>
      <c r="APT2" s="2">
        <v>0</v>
      </c>
      <c r="APU2" s="2">
        <v>0</v>
      </c>
      <c r="APV2" s="2">
        <v>0</v>
      </c>
      <c r="APW2" s="2">
        <v>0</v>
      </c>
      <c r="APX2" s="2">
        <v>0</v>
      </c>
      <c r="APZ2" s="1" t="s">
        <v>2388</v>
      </c>
      <c r="AQA2" s="2">
        <v>0</v>
      </c>
      <c r="AQB2" s="2">
        <v>1</v>
      </c>
      <c r="AQC2" s="2">
        <v>0</v>
      </c>
      <c r="AQD2" s="2">
        <v>0</v>
      </c>
      <c r="AQE2" s="2">
        <v>0</v>
      </c>
      <c r="AQF2" s="2">
        <v>0</v>
      </c>
      <c r="AQL2" s="1" t="s">
        <v>1154</v>
      </c>
      <c r="AQM2" s="1" t="s">
        <v>3240</v>
      </c>
      <c r="AQN2" s="90">
        <v>35000</v>
      </c>
      <c r="AQO2" s="1" t="s">
        <v>1163</v>
      </c>
      <c r="ARG2" s="1" t="s">
        <v>1159</v>
      </c>
      <c r="ARH2" s="2">
        <v>0</v>
      </c>
      <c r="ARI2" s="2">
        <v>0</v>
      </c>
      <c r="ARJ2" s="2">
        <v>1</v>
      </c>
      <c r="ARK2" s="2">
        <v>0</v>
      </c>
      <c r="ARL2" s="2">
        <v>0</v>
      </c>
      <c r="ARM2" s="2">
        <v>0</v>
      </c>
      <c r="ARN2" s="2">
        <v>0</v>
      </c>
      <c r="ARO2" s="2">
        <v>0</v>
      </c>
      <c r="ARP2" s="2">
        <v>0</v>
      </c>
      <c r="ARQ2" s="2">
        <v>0</v>
      </c>
      <c r="ARR2" s="2">
        <v>0</v>
      </c>
      <c r="ARS2" s="2">
        <v>0</v>
      </c>
      <c r="ARU2" s="1" t="s">
        <v>1163</v>
      </c>
      <c r="ARV2" s="2">
        <v>1</v>
      </c>
      <c r="ARW2" s="2">
        <v>0</v>
      </c>
      <c r="ARX2" s="2">
        <v>0</v>
      </c>
      <c r="ARY2" s="2">
        <v>0</v>
      </c>
      <c r="ARZ2" s="2">
        <v>0</v>
      </c>
      <c r="ASA2" s="2">
        <v>0</v>
      </c>
      <c r="ASB2" s="2">
        <v>0</v>
      </c>
      <c r="ASD2" s="1" t="s">
        <v>1155</v>
      </c>
      <c r="ASN2" s="1" t="s">
        <v>1880</v>
      </c>
      <c r="ASO2" s="2">
        <v>0</v>
      </c>
      <c r="ASP2" s="2">
        <v>0</v>
      </c>
      <c r="ASQ2" s="2">
        <v>1</v>
      </c>
      <c r="ASR2" s="2">
        <v>0</v>
      </c>
      <c r="ASS2" s="2">
        <v>0</v>
      </c>
      <c r="ASU2" s="1" t="s">
        <v>1163</v>
      </c>
      <c r="ASV2" s="2">
        <v>1</v>
      </c>
      <c r="ASW2" s="2">
        <v>0</v>
      </c>
      <c r="ASX2" s="2">
        <v>0</v>
      </c>
      <c r="ASY2" s="2">
        <v>0</v>
      </c>
      <c r="ASZ2" s="2">
        <v>0</v>
      </c>
      <c r="ATA2" s="2">
        <v>0</v>
      </c>
      <c r="ATB2" s="2">
        <v>0</v>
      </c>
      <c r="ATC2" s="2">
        <v>0</v>
      </c>
      <c r="ATD2" s="2">
        <v>0</v>
      </c>
      <c r="ATE2" s="2">
        <v>0</v>
      </c>
      <c r="ATF2" s="2">
        <v>0</v>
      </c>
      <c r="ATG2" s="2">
        <v>0</v>
      </c>
      <c r="ATH2" s="2">
        <v>0</v>
      </c>
      <c r="ATJ2" s="1" t="s">
        <v>2126</v>
      </c>
      <c r="ATK2" s="2">
        <v>0</v>
      </c>
      <c r="ATL2" s="2">
        <v>0</v>
      </c>
      <c r="ATM2" s="2">
        <v>0</v>
      </c>
      <c r="ATN2" s="2">
        <v>0</v>
      </c>
      <c r="ATO2" s="2">
        <v>1</v>
      </c>
      <c r="ATP2" s="2">
        <v>0</v>
      </c>
      <c r="ATQ2" s="2">
        <v>0</v>
      </c>
      <c r="ATR2" s="2">
        <v>0</v>
      </c>
      <c r="ATS2" s="2">
        <v>0</v>
      </c>
      <c r="ATT2" s="2">
        <v>0</v>
      </c>
      <c r="ATU2" s="2">
        <v>0</v>
      </c>
      <c r="ATV2" s="2">
        <v>0</v>
      </c>
      <c r="ATW2" s="2">
        <v>0</v>
      </c>
      <c r="ATX2" s="2">
        <v>0</v>
      </c>
      <c r="ATY2" s="2">
        <v>0</v>
      </c>
      <c r="ATZ2" s="2">
        <v>0</v>
      </c>
      <c r="AUA2" s="2">
        <v>0</v>
      </c>
      <c r="AUC2" s="1" t="s">
        <v>1155</v>
      </c>
      <c r="AVG2" s="1" t="s">
        <v>3093</v>
      </c>
      <c r="AVH2" s="2">
        <v>0</v>
      </c>
      <c r="AVI2" s="2">
        <v>0</v>
      </c>
      <c r="AVJ2" s="2">
        <v>1</v>
      </c>
      <c r="AVK2" s="2">
        <v>0</v>
      </c>
      <c r="AVL2" s="2">
        <v>0</v>
      </c>
      <c r="AVM2" s="2">
        <v>0</v>
      </c>
      <c r="AVN2" s="2">
        <v>1</v>
      </c>
      <c r="AVO2" s="2">
        <v>0</v>
      </c>
      <c r="AVP2" s="2">
        <v>0</v>
      </c>
      <c r="AVT2" s="1">
        <v>136622906</v>
      </c>
      <c r="AVU2" s="1" t="s">
        <v>3094</v>
      </c>
      <c r="AVW2" s="1">
        <v>268</v>
      </c>
    </row>
    <row r="3" spans="1:1271" s="1" customFormat="1" ht="14" x14ac:dyDescent="0.3">
      <c r="A3" s="1" t="s">
        <v>3095</v>
      </c>
      <c r="B3" s="1" t="s">
        <v>3096</v>
      </c>
      <c r="C3" s="1" t="s">
        <v>3097</v>
      </c>
      <c r="D3" s="1" t="s">
        <v>1775</v>
      </c>
      <c r="E3" s="2">
        <v>356676102907869</v>
      </c>
      <c r="F3" s="1" t="s">
        <v>3098</v>
      </c>
      <c r="H3" s="2"/>
      <c r="I3" s="1" t="s">
        <v>1659</v>
      </c>
      <c r="J3" s="1" t="s">
        <v>3090</v>
      </c>
      <c r="K3" s="1" t="s">
        <v>3090</v>
      </c>
      <c r="N3" s="1" t="s">
        <v>1389</v>
      </c>
      <c r="O3" s="2">
        <v>0</v>
      </c>
      <c r="P3" s="2">
        <v>0</v>
      </c>
      <c r="Q3" s="2">
        <v>0</v>
      </c>
      <c r="R3" s="2">
        <v>1</v>
      </c>
      <c r="S3" s="2">
        <v>0</v>
      </c>
      <c r="OK3" s="1" t="s">
        <v>1386</v>
      </c>
      <c r="OM3" s="1" t="s">
        <v>3231</v>
      </c>
      <c r="ON3" s="1" t="s">
        <v>1156</v>
      </c>
      <c r="PL3" s="1" t="s">
        <v>1156</v>
      </c>
      <c r="PM3" s="2">
        <v>2</v>
      </c>
      <c r="PN3" s="1" t="s">
        <v>1156</v>
      </c>
      <c r="PO3" s="2">
        <v>1</v>
      </c>
      <c r="PP3" s="2">
        <v>1</v>
      </c>
      <c r="PQ3" s="1" t="s">
        <v>1155</v>
      </c>
      <c r="PR3" s="1" t="s">
        <v>1156</v>
      </c>
      <c r="PS3" s="1" t="s">
        <v>1391</v>
      </c>
      <c r="PU3" s="1" t="s">
        <v>1155</v>
      </c>
      <c r="PX3" s="1" t="s">
        <v>1156</v>
      </c>
      <c r="PY3" s="1" t="s">
        <v>1516</v>
      </c>
      <c r="PZ3" s="1" t="s">
        <v>3099</v>
      </c>
      <c r="QA3" s="2">
        <v>0</v>
      </c>
      <c r="QB3" s="2">
        <v>0</v>
      </c>
      <c r="QC3" s="2">
        <v>0</v>
      </c>
      <c r="QD3" s="2">
        <v>1</v>
      </c>
      <c r="QE3" s="2">
        <v>1</v>
      </c>
      <c r="QF3" s="2">
        <v>0</v>
      </c>
      <c r="QG3" s="2">
        <v>0</v>
      </c>
      <c r="QH3" s="2">
        <v>0</v>
      </c>
      <c r="QI3" s="2">
        <v>0</v>
      </c>
      <c r="QJ3" s="2">
        <v>1</v>
      </c>
      <c r="QK3" s="2">
        <v>1</v>
      </c>
      <c r="QL3" s="2">
        <v>0</v>
      </c>
      <c r="QM3" s="2">
        <v>0</v>
      </c>
      <c r="QN3" s="2">
        <v>0</v>
      </c>
      <c r="QP3" s="1" t="s">
        <v>1156</v>
      </c>
      <c r="QQ3" s="1" t="s">
        <v>3100</v>
      </c>
      <c r="QR3" s="2">
        <v>0</v>
      </c>
      <c r="QS3" s="2">
        <v>1</v>
      </c>
      <c r="QT3" s="2">
        <v>0</v>
      </c>
      <c r="QU3" s="2">
        <v>1</v>
      </c>
      <c r="QV3" s="2">
        <v>0</v>
      </c>
      <c r="QW3" s="2">
        <v>0</v>
      </c>
      <c r="QX3" s="1" t="s">
        <v>3356</v>
      </c>
      <c r="QY3" s="1" t="s">
        <v>1155</v>
      </c>
      <c r="RG3" s="2">
        <v>50</v>
      </c>
      <c r="RH3" s="1" t="s">
        <v>1156</v>
      </c>
      <c r="RI3" s="57" t="s">
        <v>1166</v>
      </c>
      <c r="RV3" s="1" t="s">
        <v>1154</v>
      </c>
      <c r="RW3" s="2">
        <v>0</v>
      </c>
      <c r="RX3" s="2">
        <v>0</v>
      </c>
      <c r="RY3" s="2">
        <v>0</v>
      </c>
      <c r="RZ3" s="2">
        <v>0</v>
      </c>
      <c r="SA3" s="2">
        <v>0</v>
      </c>
      <c r="SB3" s="2">
        <v>0</v>
      </c>
      <c r="SC3" s="2">
        <v>1</v>
      </c>
      <c r="SD3" s="57" t="s">
        <v>3233</v>
      </c>
      <c r="SE3" s="1" t="s">
        <v>3101</v>
      </c>
      <c r="SF3" s="58">
        <v>12</v>
      </c>
      <c r="SG3" s="2">
        <v>0</v>
      </c>
      <c r="SH3" s="2">
        <v>0</v>
      </c>
      <c r="SI3" s="2">
        <v>4</v>
      </c>
      <c r="SJ3" s="2">
        <v>0</v>
      </c>
      <c r="SK3" s="2">
        <v>0</v>
      </c>
      <c r="SL3" s="2">
        <v>4</v>
      </c>
      <c r="SM3" s="2">
        <v>4</v>
      </c>
      <c r="SN3" s="1" t="s">
        <v>1159</v>
      </c>
      <c r="SO3" s="2">
        <v>0</v>
      </c>
      <c r="SP3" s="2">
        <v>0</v>
      </c>
      <c r="SQ3" s="2">
        <v>1</v>
      </c>
      <c r="SR3" s="2">
        <v>0</v>
      </c>
      <c r="SS3" s="2">
        <v>0</v>
      </c>
      <c r="ST3" s="2">
        <v>0</v>
      </c>
      <c r="SU3" s="2">
        <v>0</v>
      </c>
      <c r="SV3" s="2">
        <v>0</v>
      </c>
      <c r="SW3" s="2">
        <v>0</v>
      </c>
      <c r="SX3" s="2">
        <v>0</v>
      </c>
      <c r="SY3" s="2">
        <v>0</v>
      </c>
      <c r="SZ3" s="2">
        <v>0</v>
      </c>
      <c r="TB3" s="1" t="s">
        <v>1155</v>
      </c>
      <c r="TJ3" s="1" t="s">
        <v>1155</v>
      </c>
      <c r="UF3" s="1" t="s">
        <v>1397</v>
      </c>
      <c r="UG3" s="2">
        <v>1</v>
      </c>
      <c r="UH3" s="2">
        <v>0</v>
      </c>
      <c r="UI3" s="2">
        <v>0</v>
      </c>
      <c r="UJ3" s="2">
        <v>0</v>
      </c>
      <c r="UK3" s="2">
        <v>0</v>
      </c>
      <c r="UM3" s="1" t="s">
        <v>1171</v>
      </c>
      <c r="UO3" s="1" t="s">
        <v>1156</v>
      </c>
      <c r="UP3" s="1" t="s">
        <v>3102</v>
      </c>
      <c r="UQ3" s="2">
        <v>1</v>
      </c>
      <c r="UR3" s="2">
        <v>0</v>
      </c>
      <c r="US3" s="2">
        <v>1</v>
      </c>
      <c r="UT3" s="2">
        <v>0</v>
      </c>
      <c r="UU3" s="2">
        <v>0</v>
      </c>
      <c r="UV3" s="2">
        <v>0</v>
      </c>
      <c r="UW3" s="2">
        <v>1</v>
      </c>
      <c r="UX3" s="2">
        <v>0</v>
      </c>
      <c r="UY3" s="2">
        <v>0</v>
      </c>
      <c r="UZ3" s="2">
        <v>0</v>
      </c>
      <c r="VA3" s="2">
        <v>0</v>
      </c>
      <c r="VB3" s="2">
        <v>0</v>
      </c>
      <c r="VC3" s="2">
        <v>0</v>
      </c>
      <c r="VD3" s="2">
        <v>0</v>
      </c>
      <c r="VE3" s="2">
        <v>0</v>
      </c>
      <c r="VF3" s="2">
        <v>0</v>
      </c>
      <c r="VH3" s="1" t="s">
        <v>1194</v>
      </c>
      <c r="VI3" s="2">
        <v>0</v>
      </c>
      <c r="VJ3" s="2">
        <v>0</v>
      </c>
      <c r="VK3" s="2">
        <v>0</v>
      </c>
      <c r="VL3" s="2">
        <v>0</v>
      </c>
      <c r="VM3" s="2">
        <v>1</v>
      </c>
      <c r="VN3" s="2">
        <v>0</v>
      </c>
      <c r="VO3" s="2">
        <v>0</v>
      </c>
      <c r="VP3" s="2">
        <v>0</v>
      </c>
      <c r="VQ3" s="2">
        <v>0</v>
      </c>
      <c r="VR3" s="2">
        <v>0</v>
      </c>
      <c r="VS3" s="2">
        <v>0</v>
      </c>
      <c r="VT3" s="2">
        <v>0</v>
      </c>
      <c r="VU3" s="2">
        <v>0</v>
      </c>
      <c r="VV3" s="1" t="s">
        <v>3358</v>
      </c>
      <c r="VW3" s="1" t="s">
        <v>1156</v>
      </c>
      <c r="VX3" s="1" t="s">
        <v>1158</v>
      </c>
      <c r="VY3" s="2">
        <v>0</v>
      </c>
      <c r="VZ3" s="2">
        <v>0</v>
      </c>
      <c r="WA3" s="2">
        <v>0</v>
      </c>
      <c r="WB3" s="2">
        <v>0</v>
      </c>
      <c r="WC3" s="2">
        <v>1</v>
      </c>
      <c r="WD3" s="2">
        <v>0</v>
      </c>
      <c r="WE3" s="2">
        <v>0</v>
      </c>
      <c r="WF3" s="57"/>
      <c r="WG3" s="1" t="s">
        <v>1154</v>
      </c>
      <c r="WH3" s="2">
        <v>0</v>
      </c>
      <c r="WI3" s="2">
        <v>0</v>
      </c>
      <c r="WJ3" s="2">
        <v>0</v>
      </c>
      <c r="WK3" s="2">
        <v>0</v>
      </c>
      <c r="WL3" s="2">
        <v>0</v>
      </c>
      <c r="WM3" s="2">
        <v>0</v>
      </c>
      <c r="WN3" s="2">
        <v>0</v>
      </c>
      <c r="WO3" s="2">
        <v>0</v>
      </c>
      <c r="WP3" s="2">
        <v>0</v>
      </c>
      <c r="WQ3" s="2">
        <v>0</v>
      </c>
      <c r="WR3" s="2">
        <v>0</v>
      </c>
      <c r="WS3" s="2">
        <v>0</v>
      </c>
      <c r="WT3" s="2">
        <v>1</v>
      </c>
      <c r="WU3" s="1" t="s">
        <v>3236</v>
      </c>
      <c r="WV3" s="1" t="s">
        <v>1156</v>
      </c>
      <c r="XD3" s="1" t="s">
        <v>3103</v>
      </c>
      <c r="XE3" s="2">
        <v>0</v>
      </c>
      <c r="XF3" s="2">
        <v>1</v>
      </c>
      <c r="XG3" s="2">
        <v>0</v>
      </c>
      <c r="XH3" s="2">
        <v>1</v>
      </c>
      <c r="XI3" s="2">
        <v>0</v>
      </c>
      <c r="XJ3" s="2">
        <v>0</v>
      </c>
      <c r="XK3" s="2">
        <v>0</v>
      </c>
      <c r="XL3" s="2">
        <v>0</v>
      </c>
      <c r="XM3" s="2">
        <v>0</v>
      </c>
      <c r="XN3" s="2">
        <v>0</v>
      </c>
      <c r="XO3" s="2">
        <v>0</v>
      </c>
      <c r="XP3" s="2">
        <v>0</v>
      </c>
      <c r="XQ3" s="2">
        <v>1</v>
      </c>
      <c r="XR3" s="1" t="s">
        <v>3104</v>
      </c>
      <c r="XT3" s="1" t="s">
        <v>1156</v>
      </c>
      <c r="XU3" s="1" t="s">
        <v>2139</v>
      </c>
      <c r="XV3" s="2">
        <v>0</v>
      </c>
      <c r="XW3" s="2">
        <v>0</v>
      </c>
      <c r="XX3" s="2">
        <v>0</v>
      </c>
      <c r="XY3" s="2">
        <v>1</v>
      </c>
      <c r="XZ3" s="2">
        <v>0</v>
      </c>
      <c r="YA3" s="2">
        <v>0</v>
      </c>
      <c r="YB3" s="2">
        <v>0</v>
      </c>
      <c r="YC3" s="2">
        <v>0</v>
      </c>
      <c r="YE3" s="1" t="s">
        <v>1155</v>
      </c>
      <c r="YF3" s="1" t="s">
        <v>1155</v>
      </c>
      <c r="YH3" s="1" t="s">
        <v>1156</v>
      </c>
      <c r="YI3" s="1" t="s">
        <v>3105</v>
      </c>
      <c r="YJ3" s="2">
        <v>0</v>
      </c>
      <c r="YK3" s="2">
        <v>0</v>
      </c>
      <c r="YL3" s="2">
        <v>1</v>
      </c>
      <c r="YM3" s="2">
        <v>0</v>
      </c>
      <c r="YN3" s="2">
        <v>0</v>
      </c>
      <c r="YO3" s="2">
        <v>0</v>
      </c>
      <c r="YP3" s="2">
        <v>0</v>
      </c>
      <c r="YQ3" s="2">
        <v>0</v>
      </c>
      <c r="YS3" s="1" t="s">
        <v>1155</v>
      </c>
      <c r="ZA3" s="1" t="s">
        <v>1156</v>
      </c>
      <c r="ZB3" s="2">
        <v>2</v>
      </c>
      <c r="ZF3" s="1" t="s">
        <v>1155</v>
      </c>
      <c r="ZH3" s="2">
        <v>5</v>
      </c>
      <c r="ZI3" s="1" t="s">
        <v>2109</v>
      </c>
      <c r="ZK3" s="1" t="s">
        <v>1155</v>
      </c>
      <c r="ZL3" s="1" t="s">
        <v>1155</v>
      </c>
      <c r="ZN3" s="1" t="s">
        <v>1155</v>
      </c>
      <c r="ZO3" s="1" t="s">
        <v>1156</v>
      </c>
      <c r="ZP3" s="2">
        <v>1</v>
      </c>
      <c r="ZQ3" s="1" t="s">
        <v>1155</v>
      </c>
      <c r="AVT3" s="1">
        <v>136622929</v>
      </c>
      <c r="AVU3" s="1" t="s">
        <v>3106</v>
      </c>
      <c r="AVW3" s="1">
        <v>270</v>
      </c>
    </row>
    <row r="4" spans="1:1271" s="1" customFormat="1" ht="14" x14ac:dyDescent="0.3">
      <c r="A4" s="1" t="s">
        <v>3107</v>
      </c>
      <c r="B4" s="1" t="s">
        <v>3108</v>
      </c>
      <c r="C4" s="1" t="s">
        <v>3109</v>
      </c>
      <c r="D4" s="1" t="s">
        <v>1775</v>
      </c>
      <c r="E4" s="2">
        <v>356676102907869</v>
      </c>
      <c r="F4" s="1" t="s">
        <v>1754</v>
      </c>
      <c r="H4" s="2"/>
      <c r="I4" s="1" t="s">
        <v>1659</v>
      </c>
      <c r="J4" s="1" t="s">
        <v>3090</v>
      </c>
      <c r="K4" s="1" t="s">
        <v>3090</v>
      </c>
      <c r="N4" s="1" t="s">
        <v>1153</v>
      </c>
      <c r="O4" s="2">
        <v>1</v>
      </c>
      <c r="P4" s="2">
        <v>0</v>
      </c>
      <c r="Q4" s="2">
        <v>0</v>
      </c>
      <c r="R4" s="2">
        <v>0</v>
      </c>
      <c r="S4" s="2">
        <v>0</v>
      </c>
      <c r="U4" s="1" t="s">
        <v>1840</v>
      </c>
      <c r="W4" s="1" t="s">
        <v>1156</v>
      </c>
      <c r="X4" s="1" t="s">
        <v>1156</v>
      </c>
      <c r="AN4" s="1" t="s">
        <v>1182</v>
      </c>
      <c r="AO4" s="2">
        <v>130</v>
      </c>
      <c r="AP4" s="1" t="s">
        <v>2145</v>
      </c>
      <c r="AR4" s="1" t="s">
        <v>1801</v>
      </c>
      <c r="AS4" s="1" t="s">
        <v>1833</v>
      </c>
      <c r="AT4" s="1" t="s">
        <v>1156</v>
      </c>
      <c r="AU4" s="1" t="s">
        <v>1166</v>
      </c>
      <c r="BF4" s="1" t="s">
        <v>2590</v>
      </c>
      <c r="BG4" s="2">
        <v>0</v>
      </c>
      <c r="BH4" s="2">
        <v>0</v>
      </c>
      <c r="BI4" s="2">
        <v>1</v>
      </c>
      <c r="BJ4" s="2">
        <v>0</v>
      </c>
      <c r="BK4" s="2">
        <v>0</v>
      </c>
      <c r="BL4" s="2">
        <v>0</v>
      </c>
      <c r="BM4" s="2">
        <v>0</v>
      </c>
      <c r="BO4" s="1" t="s">
        <v>1158</v>
      </c>
      <c r="BP4" s="2">
        <v>0</v>
      </c>
      <c r="BQ4" s="2">
        <v>0</v>
      </c>
      <c r="BR4" s="2">
        <v>0</v>
      </c>
      <c r="BS4" s="2">
        <v>0</v>
      </c>
      <c r="BT4" s="2">
        <v>0</v>
      </c>
      <c r="BU4" s="2">
        <v>1</v>
      </c>
      <c r="BV4" s="2">
        <v>0</v>
      </c>
      <c r="BW4" s="2">
        <v>0</v>
      </c>
      <c r="BX4" s="2">
        <v>0</v>
      </c>
      <c r="BY4" s="2">
        <v>0</v>
      </c>
      <c r="BZ4" s="2">
        <v>0</v>
      </c>
      <c r="CA4" s="2">
        <v>0</v>
      </c>
      <c r="CC4" s="1" t="s">
        <v>1155</v>
      </c>
      <c r="DQ4" s="1" t="s">
        <v>1169</v>
      </c>
      <c r="DR4" s="2">
        <v>0</v>
      </c>
      <c r="DS4" s="2">
        <v>1</v>
      </c>
      <c r="DT4" s="2">
        <v>0</v>
      </c>
      <c r="DU4" s="2">
        <v>0</v>
      </c>
      <c r="DV4" s="2">
        <v>0</v>
      </c>
      <c r="DX4" s="1" t="s">
        <v>1393</v>
      </c>
      <c r="DY4" s="2">
        <v>1</v>
      </c>
      <c r="DZ4" s="2">
        <v>0</v>
      </c>
      <c r="EA4" s="2">
        <v>0</v>
      </c>
      <c r="EB4" s="2">
        <v>0</v>
      </c>
      <c r="EC4" s="2">
        <v>0</v>
      </c>
      <c r="ED4" s="2">
        <v>0</v>
      </c>
      <c r="EE4" s="2">
        <v>0</v>
      </c>
      <c r="EF4" s="2">
        <v>0</v>
      </c>
      <c r="EG4" s="2">
        <v>0</v>
      </c>
      <c r="EH4" s="2">
        <v>0</v>
      </c>
      <c r="EI4" s="2">
        <v>0</v>
      </c>
      <c r="EJ4" s="2">
        <v>0</v>
      </c>
      <c r="EK4" s="2">
        <v>0</v>
      </c>
      <c r="EM4" s="1" t="s">
        <v>1162</v>
      </c>
      <c r="EN4" s="2">
        <v>0</v>
      </c>
      <c r="EO4" s="2">
        <v>0</v>
      </c>
      <c r="EP4" s="2">
        <v>0</v>
      </c>
      <c r="EQ4" s="2">
        <v>0</v>
      </c>
      <c r="ER4" s="2">
        <v>0</v>
      </c>
      <c r="ES4" s="2">
        <v>0</v>
      </c>
      <c r="ET4" s="2">
        <v>0</v>
      </c>
      <c r="EU4" s="2">
        <v>0</v>
      </c>
      <c r="EV4" s="2">
        <v>0</v>
      </c>
      <c r="EW4" s="2">
        <v>0</v>
      </c>
      <c r="EX4" s="2">
        <v>1</v>
      </c>
      <c r="EY4" s="2">
        <v>0</v>
      </c>
      <c r="EZ4" s="2">
        <v>0</v>
      </c>
      <c r="FA4" s="57"/>
      <c r="FB4" s="1" t="s">
        <v>1156</v>
      </c>
      <c r="FC4" s="1" t="s">
        <v>1880</v>
      </c>
      <c r="FD4" s="2">
        <v>0</v>
      </c>
      <c r="FE4" s="2">
        <v>0</v>
      </c>
      <c r="FF4" s="2">
        <v>0</v>
      </c>
      <c r="FG4" s="2">
        <v>0</v>
      </c>
      <c r="FH4" s="2">
        <v>0</v>
      </c>
      <c r="FI4" s="2">
        <v>1</v>
      </c>
      <c r="FJ4" s="2">
        <v>0</v>
      </c>
      <c r="FK4" s="57"/>
      <c r="FL4" s="1" t="s">
        <v>1517</v>
      </c>
      <c r="FM4" s="2">
        <v>0</v>
      </c>
      <c r="FN4" s="2">
        <v>0</v>
      </c>
      <c r="FO4" s="2">
        <v>0</v>
      </c>
      <c r="FP4" s="2">
        <v>0</v>
      </c>
      <c r="FQ4" s="2">
        <v>0</v>
      </c>
      <c r="FR4" s="2">
        <v>0</v>
      </c>
      <c r="FS4" s="2">
        <v>0</v>
      </c>
      <c r="FT4" s="2">
        <v>0</v>
      </c>
      <c r="FU4" s="2">
        <v>1</v>
      </c>
      <c r="FV4" s="2">
        <v>0</v>
      </c>
      <c r="FW4" s="2">
        <v>0</v>
      </c>
      <c r="FX4" s="2">
        <v>0</v>
      </c>
      <c r="FY4" s="2">
        <v>0</v>
      </c>
      <c r="GA4" s="1" t="s">
        <v>1156</v>
      </c>
      <c r="GI4" s="1" t="s">
        <v>2403</v>
      </c>
      <c r="GJ4" s="2">
        <v>0</v>
      </c>
      <c r="GK4" s="2">
        <v>0</v>
      </c>
      <c r="GL4" s="2">
        <v>0</v>
      </c>
      <c r="GM4" s="2">
        <v>0</v>
      </c>
      <c r="GN4" s="2">
        <v>0</v>
      </c>
      <c r="GO4" s="2">
        <v>0</v>
      </c>
      <c r="GP4" s="2">
        <v>0</v>
      </c>
      <c r="GQ4" s="2">
        <v>0</v>
      </c>
      <c r="GR4" s="2">
        <v>0</v>
      </c>
      <c r="GS4" s="2">
        <v>0</v>
      </c>
      <c r="GT4" s="2">
        <v>1</v>
      </c>
      <c r="GU4" s="2">
        <v>0</v>
      </c>
      <c r="GV4" s="2">
        <v>0</v>
      </c>
      <c r="AVT4" s="1">
        <v>136622943</v>
      </c>
      <c r="AVU4" s="1" t="s">
        <v>3110</v>
      </c>
      <c r="AVW4" s="1">
        <v>271</v>
      </c>
    </row>
    <row r="5" spans="1:1271" s="1" customFormat="1" ht="14" x14ac:dyDescent="0.3">
      <c r="A5" s="1" t="s">
        <v>3111</v>
      </c>
      <c r="B5" s="1" t="s">
        <v>3112</v>
      </c>
      <c r="C5" s="1" t="s">
        <v>3113</v>
      </c>
      <c r="D5" s="1" t="s">
        <v>1775</v>
      </c>
      <c r="E5" s="2">
        <v>356676102907869</v>
      </c>
      <c r="F5" s="1" t="s">
        <v>1754</v>
      </c>
      <c r="H5" s="2"/>
      <c r="I5" s="1" t="s">
        <v>1659</v>
      </c>
      <c r="J5" s="1" t="s">
        <v>3090</v>
      </c>
      <c r="K5" s="1" t="s">
        <v>3090</v>
      </c>
      <c r="N5" s="1" t="s">
        <v>1153</v>
      </c>
      <c r="O5" s="2">
        <v>1</v>
      </c>
      <c r="P5" s="2">
        <v>0</v>
      </c>
      <c r="Q5" s="2">
        <v>0</v>
      </c>
      <c r="R5" s="2">
        <v>0</v>
      </c>
      <c r="S5" s="2">
        <v>0</v>
      </c>
      <c r="U5" s="1" t="s">
        <v>1840</v>
      </c>
      <c r="W5" s="1" t="s">
        <v>1156</v>
      </c>
      <c r="X5" s="1" t="s">
        <v>1156</v>
      </c>
      <c r="AN5" s="1" t="s">
        <v>1182</v>
      </c>
      <c r="AO5" s="2">
        <v>500</v>
      </c>
      <c r="AP5" s="1" t="s">
        <v>2145</v>
      </c>
      <c r="AR5" s="1" t="s">
        <v>1710</v>
      </c>
      <c r="AS5" s="1" t="s">
        <v>1833</v>
      </c>
      <c r="AT5" s="1" t="s">
        <v>1155</v>
      </c>
      <c r="BO5" s="1" t="s">
        <v>1158</v>
      </c>
      <c r="BP5" s="2">
        <v>0</v>
      </c>
      <c r="BQ5" s="2">
        <v>0</v>
      </c>
      <c r="BR5" s="2">
        <v>0</v>
      </c>
      <c r="BS5" s="2">
        <v>0</v>
      </c>
      <c r="BT5" s="2">
        <v>0</v>
      </c>
      <c r="BU5" s="2">
        <v>1</v>
      </c>
      <c r="BV5" s="2">
        <v>0</v>
      </c>
      <c r="BW5" s="2">
        <v>0</v>
      </c>
      <c r="BX5" s="2">
        <v>0</v>
      </c>
      <c r="BY5" s="2">
        <v>0</v>
      </c>
      <c r="BZ5" s="2">
        <v>0</v>
      </c>
      <c r="CA5" s="2">
        <v>0</v>
      </c>
      <c r="CC5" s="1" t="s">
        <v>1155</v>
      </c>
      <c r="DQ5" s="1" t="s">
        <v>3355</v>
      </c>
      <c r="DR5" s="2">
        <v>1</v>
      </c>
      <c r="DS5" s="2">
        <v>0</v>
      </c>
      <c r="DT5" s="2">
        <v>0</v>
      </c>
      <c r="DU5" s="2">
        <v>0</v>
      </c>
      <c r="DV5" s="2">
        <v>0</v>
      </c>
      <c r="DW5" s="57"/>
      <c r="DX5" s="1" t="s">
        <v>1393</v>
      </c>
      <c r="DY5" s="2">
        <v>1</v>
      </c>
      <c r="DZ5" s="2">
        <v>0</v>
      </c>
      <c r="EA5" s="2">
        <v>0</v>
      </c>
      <c r="EB5" s="2">
        <v>0</v>
      </c>
      <c r="EC5" s="2">
        <v>0</v>
      </c>
      <c r="ED5" s="2">
        <v>0</v>
      </c>
      <c r="EE5" s="2">
        <v>0</v>
      </c>
      <c r="EF5" s="2">
        <v>0</v>
      </c>
      <c r="EG5" s="2">
        <v>0</v>
      </c>
      <c r="EH5" s="2">
        <v>0</v>
      </c>
      <c r="EI5" s="2">
        <v>0</v>
      </c>
      <c r="EJ5" s="2">
        <v>0</v>
      </c>
      <c r="EK5" s="2">
        <v>0</v>
      </c>
      <c r="EM5" s="1" t="s">
        <v>3115</v>
      </c>
      <c r="EN5" s="2">
        <v>1</v>
      </c>
      <c r="EO5" s="2">
        <v>0</v>
      </c>
      <c r="EP5" s="2">
        <v>0</v>
      </c>
      <c r="EQ5" s="2">
        <v>0</v>
      </c>
      <c r="ER5" s="2">
        <v>0</v>
      </c>
      <c r="ES5" s="2">
        <v>0</v>
      </c>
      <c r="ET5" s="2">
        <v>0</v>
      </c>
      <c r="EU5" s="2">
        <v>1</v>
      </c>
      <c r="EV5" s="2">
        <v>1</v>
      </c>
      <c r="EW5" s="2">
        <v>0</v>
      </c>
      <c r="EX5" s="2">
        <v>0</v>
      </c>
      <c r="EY5" s="2">
        <v>0</v>
      </c>
      <c r="EZ5" s="2">
        <v>0</v>
      </c>
      <c r="FB5" s="1" t="s">
        <v>1155</v>
      </c>
      <c r="GI5" s="1" t="s">
        <v>1712</v>
      </c>
      <c r="GJ5" s="2">
        <v>0</v>
      </c>
      <c r="GK5" s="2">
        <v>1</v>
      </c>
      <c r="GL5" s="2">
        <v>0</v>
      </c>
      <c r="GM5" s="2">
        <v>0</v>
      </c>
      <c r="GN5" s="2">
        <v>0</v>
      </c>
      <c r="GO5" s="2">
        <v>0</v>
      </c>
      <c r="GP5" s="2">
        <v>0</v>
      </c>
      <c r="GQ5" s="2">
        <v>1</v>
      </c>
      <c r="GR5" s="2">
        <v>0</v>
      </c>
      <c r="GS5" s="2">
        <v>0</v>
      </c>
      <c r="GT5" s="2">
        <v>0</v>
      </c>
      <c r="GU5" s="2">
        <v>0</v>
      </c>
      <c r="GV5" s="2">
        <v>0</v>
      </c>
      <c r="AVT5" s="1">
        <v>136622960</v>
      </c>
      <c r="AVU5" s="1" t="s">
        <v>3116</v>
      </c>
      <c r="AVW5" s="1">
        <v>273</v>
      </c>
    </row>
    <row r="6" spans="1:1271" s="1" customFormat="1" ht="14" x14ac:dyDescent="0.3">
      <c r="A6" s="1" t="s">
        <v>3117</v>
      </c>
      <c r="B6" s="1" t="s">
        <v>3118</v>
      </c>
      <c r="C6" s="1" t="s">
        <v>3119</v>
      </c>
      <c r="D6" s="1" t="s">
        <v>1775</v>
      </c>
      <c r="E6" s="2">
        <v>356676102907869</v>
      </c>
      <c r="F6" s="1" t="s">
        <v>1754</v>
      </c>
      <c r="H6" s="2"/>
      <c r="I6" s="1" t="s">
        <v>1659</v>
      </c>
      <c r="J6" s="1" t="s">
        <v>3090</v>
      </c>
      <c r="K6" s="1" t="s">
        <v>3090</v>
      </c>
      <c r="N6" s="1" t="s">
        <v>1389</v>
      </c>
      <c r="O6" s="2">
        <v>0</v>
      </c>
      <c r="P6" s="2">
        <v>0</v>
      </c>
      <c r="Q6" s="2">
        <v>0</v>
      </c>
      <c r="R6" s="2">
        <v>1</v>
      </c>
      <c r="S6" s="2">
        <v>0</v>
      </c>
      <c r="OK6" s="1" t="s">
        <v>1386</v>
      </c>
      <c r="OM6" s="1" t="s">
        <v>3232</v>
      </c>
      <c r="ON6" s="1" t="s">
        <v>1156</v>
      </c>
      <c r="PL6" s="1" t="s">
        <v>3120</v>
      </c>
      <c r="PR6" s="1" t="s">
        <v>1155</v>
      </c>
      <c r="PU6" s="1" t="s">
        <v>1155</v>
      </c>
      <c r="PX6" s="1" t="s">
        <v>1156</v>
      </c>
      <c r="PY6" s="1" t="s">
        <v>2491</v>
      </c>
      <c r="PZ6" s="1" t="s">
        <v>3121</v>
      </c>
      <c r="QA6" s="2">
        <v>0</v>
      </c>
      <c r="QB6" s="2">
        <v>0</v>
      </c>
      <c r="QC6" s="2">
        <v>1</v>
      </c>
      <c r="QD6" s="2">
        <v>1</v>
      </c>
      <c r="QE6" s="2">
        <v>0</v>
      </c>
      <c r="QF6" s="2">
        <v>0</v>
      </c>
      <c r="QG6" s="2">
        <v>0</v>
      </c>
      <c r="QH6" s="2">
        <v>0</v>
      </c>
      <c r="QI6" s="2">
        <v>0</v>
      </c>
      <c r="QJ6" s="2">
        <v>0</v>
      </c>
      <c r="QK6" s="2">
        <v>1</v>
      </c>
      <c r="QL6" s="2">
        <v>0</v>
      </c>
      <c r="QM6" s="2">
        <v>0</v>
      </c>
      <c r="QN6" s="2">
        <v>0</v>
      </c>
      <c r="QP6" s="1" t="s">
        <v>1156</v>
      </c>
      <c r="QQ6" s="1" t="s">
        <v>3122</v>
      </c>
      <c r="QR6" s="2">
        <v>0</v>
      </c>
      <c r="QS6" s="2">
        <v>1</v>
      </c>
      <c r="QT6" s="2">
        <v>0</v>
      </c>
      <c r="QU6" s="2">
        <v>1</v>
      </c>
      <c r="QV6" s="2">
        <v>0</v>
      </c>
      <c r="QW6" s="2">
        <v>1</v>
      </c>
      <c r="QX6" s="1" t="s">
        <v>3356</v>
      </c>
      <c r="QY6" s="1" t="s">
        <v>1155</v>
      </c>
      <c r="RG6" s="2">
        <v>50</v>
      </c>
      <c r="RH6" s="1" t="s">
        <v>1156</v>
      </c>
      <c r="RI6" s="1" t="s">
        <v>1186</v>
      </c>
      <c r="RJ6" s="1" t="s">
        <v>3123</v>
      </c>
      <c r="RK6" s="2">
        <v>0</v>
      </c>
      <c r="RL6" s="2">
        <v>0</v>
      </c>
      <c r="RM6" s="2">
        <v>0</v>
      </c>
      <c r="RN6" s="2">
        <v>0</v>
      </c>
      <c r="RO6" s="2">
        <v>1</v>
      </c>
      <c r="RP6" s="2">
        <v>1</v>
      </c>
      <c r="RQ6" s="2">
        <v>0</v>
      </c>
      <c r="RR6" s="2">
        <v>0</v>
      </c>
      <c r="RS6" s="2">
        <v>0</v>
      </c>
      <c r="RT6" s="2">
        <v>0</v>
      </c>
      <c r="SE6" s="1" t="s">
        <v>3101</v>
      </c>
      <c r="SF6" s="58">
        <v>18</v>
      </c>
      <c r="SG6" s="2">
        <v>2</v>
      </c>
      <c r="SH6" s="2">
        <v>2</v>
      </c>
      <c r="SI6" s="2">
        <v>3</v>
      </c>
      <c r="SJ6" s="2">
        <v>0</v>
      </c>
      <c r="SK6" s="2">
        <v>0</v>
      </c>
      <c r="SL6" s="2">
        <v>0</v>
      </c>
      <c r="SM6" s="2">
        <v>6</v>
      </c>
      <c r="SN6" s="1" t="s">
        <v>1177</v>
      </c>
      <c r="SO6" s="2">
        <v>0</v>
      </c>
      <c r="SP6" s="2">
        <v>0</v>
      </c>
      <c r="SQ6" s="2">
        <v>0</v>
      </c>
      <c r="SR6" s="2">
        <v>0</v>
      </c>
      <c r="SS6" s="2">
        <v>0</v>
      </c>
      <c r="ST6" s="2">
        <v>0</v>
      </c>
      <c r="SU6" s="2">
        <v>0</v>
      </c>
      <c r="SV6" s="2">
        <v>0</v>
      </c>
      <c r="SW6" s="2">
        <v>0</v>
      </c>
      <c r="SX6" s="2">
        <v>0</v>
      </c>
      <c r="SY6" s="2">
        <v>0</v>
      </c>
      <c r="SZ6" s="2">
        <v>1</v>
      </c>
      <c r="TB6" s="1" t="s">
        <v>1155</v>
      </c>
      <c r="TJ6" s="1" t="s">
        <v>1155</v>
      </c>
      <c r="UF6" s="1" t="s">
        <v>3114</v>
      </c>
      <c r="UG6" s="2">
        <v>1</v>
      </c>
      <c r="UH6" s="2">
        <v>0</v>
      </c>
      <c r="UI6" s="2">
        <v>0</v>
      </c>
      <c r="UJ6" s="2">
        <v>1</v>
      </c>
      <c r="UK6" s="2">
        <v>0</v>
      </c>
      <c r="UL6" s="1" t="s">
        <v>3234</v>
      </c>
      <c r="UM6" s="1" t="s">
        <v>2477</v>
      </c>
      <c r="UO6" s="1" t="s">
        <v>1156</v>
      </c>
      <c r="UP6" s="1" t="s">
        <v>3124</v>
      </c>
      <c r="UQ6" s="2">
        <v>0</v>
      </c>
      <c r="UR6" s="2">
        <v>1</v>
      </c>
      <c r="US6" s="2">
        <v>1</v>
      </c>
      <c r="UT6" s="2">
        <v>0</v>
      </c>
      <c r="UU6" s="2">
        <v>0</v>
      </c>
      <c r="UV6" s="2">
        <v>1</v>
      </c>
      <c r="UW6" s="2">
        <v>0</v>
      </c>
      <c r="UX6" s="2">
        <v>0</v>
      </c>
      <c r="UY6" s="2">
        <v>0</v>
      </c>
      <c r="UZ6" s="2">
        <v>0</v>
      </c>
      <c r="VA6" s="2">
        <v>0</v>
      </c>
      <c r="VB6" s="2">
        <v>0</v>
      </c>
      <c r="VC6" s="2">
        <v>0</v>
      </c>
      <c r="VD6" s="2">
        <v>0</v>
      </c>
      <c r="VE6" s="2">
        <v>0</v>
      </c>
      <c r="VF6" s="2">
        <v>0</v>
      </c>
      <c r="VH6" s="1" t="s">
        <v>3235</v>
      </c>
      <c r="VI6" s="2">
        <v>1</v>
      </c>
      <c r="VJ6" s="2">
        <v>1</v>
      </c>
      <c r="VK6" s="2">
        <v>0</v>
      </c>
      <c r="VL6" s="2">
        <v>0</v>
      </c>
      <c r="VM6" s="2">
        <v>0</v>
      </c>
      <c r="VN6" s="2">
        <v>0</v>
      </c>
      <c r="VO6" s="2">
        <v>0</v>
      </c>
      <c r="VP6" s="2">
        <v>0</v>
      </c>
      <c r="VQ6" s="2">
        <v>1</v>
      </c>
      <c r="VR6" s="2">
        <v>0</v>
      </c>
      <c r="VS6" s="2">
        <v>0</v>
      </c>
      <c r="VT6" s="2">
        <v>0</v>
      </c>
      <c r="VU6" s="2">
        <v>0</v>
      </c>
      <c r="VW6" s="1" t="s">
        <v>1155</v>
      </c>
      <c r="XD6" s="1" t="s">
        <v>3125</v>
      </c>
      <c r="XE6" s="2">
        <v>0</v>
      </c>
      <c r="XF6" s="2">
        <v>0</v>
      </c>
      <c r="XG6" s="2">
        <v>0</v>
      </c>
      <c r="XH6" s="2">
        <v>1</v>
      </c>
      <c r="XI6" s="2">
        <v>0</v>
      </c>
      <c r="XJ6" s="2">
        <v>0</v>
      </c>
      <c r="XK6" s="2">
        <v>0</v>
      </c>
      <c r="XL6" s="2">
        <v>0</v>
      </c>
      <c r="XM6" s="2">
        <v>1</v>
      </c>
      <c r="XN6" s="2">
        <v>0</v>
      </c>
      <c r="XO6" s="2">
        <v>0</v>
      </c>
      <c r="XP6" s="2">
        <v>0</v>
      </c>
      <c r="XQ6" s="2">
        <v>0</v>
      </c>
      <c r="XT6" s="1" t="s">
        <v>1156</v>
      </c>
      <c r="XU6" s="1" t="s">
        <v>3126</v>
      </c>
      <c r="XV6" s="2">
        <v>0</v>
      </c>
      <c r="XW6" s="2">
        <v>1</v>
      </c>
      <c r="XX6" s="2">
        <v>0</v>
      </c>
      <c r="XY6" s="2">
        <v>0</v>
      </c>
      <c r="XZ6" s="2">
        <v>0</v>
      </c>
      <c r="YA6" s="2">
        <v>0</v>
      </c>
      <c r="YB6" s="2">
        <v>0</v>
      </c>
      <c r="YC6" s="2">
        <v>0</v>
      </c>
      <c r="YE6" s="1" t="s">
        <v>1155</v>
      </c>
      <c r="YF6" s="1" t="s">
        <v>1155</v>
      </c>
      <c r="YH6" s="1" t="s">
        <v>1156</v>
      </c>
      <c r="YI6" s="1" t="s">
        <v>3127</v>
      </c>
      <c r="YJ6" s="2">
        <v>0</v>
      </c>
      <c r="YK6" s="2">
        <v>0</v>
      </c>
      <c r="YL6" s="2">
        <v>1</v>
      </c>
      <c r="YM6" s="2">
        <v>1</v>
      </c>
      <c r="YN6" s="2">
        <v>1</v>
      </c>
      <c r="YO6" s="2">
        <v>0</v>
      </c>
      <c r="YP6" s="2">
        <v>0</v>
      </c>
      <c r="YQ6" s="2">
        <v>0</v>
      </c>
      <c r="YS6" s="1" t="s">
        <v>1155</v>
      </c>
      <c r="ZA6" s="1" t="s">
        <v>1156</v>
      </c>
      <c r="ZB6" s="2">
        <v>1</v>
      </c>
      <c r="ZF6" s="1" t="s">
        <v>1155</v>
      </c>
      <c r="ZH6" s="2">
        <v>2</v>
      </c>
      <c r="ZI6" s="1" t="s">
        <v>1160</v>
      </c>
      <c r="ZK6" s="1" t="s">
        <v>1155</v>
      </c>
      <c r="ZL6" s="1" t="s">
        <v>1156</v>
      </c>
      <c r="ZM6" s="1" t="s">
        <v>1155</v>
      </c>
      <c r="ZN6" s="1" t="s">
        <v>1155</v>
      </c>
      <c r="ZO6" s="1" t="s">
        <v>1156</v>
      </c>
      <c r="ZP6" s="2">
        <v>2</v>
      </c>
      <c r="ZQ6" s="1" t="s">
        <v>1155</v>
      </c>
      <c r="AVT6" s="1">
        <v>136622976</v>
      </c>
      <c r="AVU6" s="1" t="s">
        <v>3128</v>
      </c>
      <c r="AVW6" s="1">
        <v>275</v>
      </c>
    </row>
    <row r="7" spans="1:1271" s="1" customFormat="1" ht="14" x14ac:dyDescent="0.3">
      <c r="A7" s="1" t="s">
        <v>3129</v>
      </c>
      <c r="B7" s="1" t="s">
        <v>3130</v>
      </c>
      <c r="C7" s="1" t="s">
        <v>3131</v>
      </c>
      <c r="D7" s="1" t="s">
        <v>1754</v>
      </c>
      <c r="E7" s="2">
        <v>356676102907869</v>
      </c>
      <c r="F7" s="1" t="s">
        <v>1754</v>
      </c>
      <c r="H7" s="2"/>
      <c r="I7" s="1" t="s">
        <v>1659</v>
      </c>
      <c r="J7" s="1" t="s">
        <v>3090</v>
      </c>
      <c r="K7" s="1" t="s">
        <v>3090</v>
      </c>
      <c r="N7" s="1" t="s">
        <v>1153</v>
      </c>
      <c r="O7" s="2">
        <v>1</v>
      </c>
      <c r="P7" s="2">
        <v>0</v>
      </c>
      <c r="Q7" s="2">
        <v>0</v>
      </c>
      <c r="R7" s="2">
        <v>0</v>
      </c>
      <c r="S7" s="2">
        <v>0</v>
      </c>
      <c r="U7" s="1" t="s">
        <v>1840</v>
      </c>
      <c r="W7" s="1" t="s">
        <v>1155</v>
      </c>
      <c r="X7" s="1" t="s">
        <v>1156</v>
      </c>
      <c r="AN7" s="1" t="s">
        <v>1182</v>
      </c>
      <c r="AO7" s="2">
        <v>200</v>
      </c>
      <c r="AP7" s="1" t="s">
        <v>1196</v>
      </c>
      <c r="AR7" s="1" t="s">
        <v>1801</v>
      </c>
      <c r="AS7" s="1" t="s">
        <v>1833</v>
      </c>
      <c r="AT7" s="1" t="s">
        <v>1155</v>
      </c>
      <c r="BO7" s="1" t="s">
        <v>2621</v>
      </c>
      <c r="BP7" s="2">
        <v>0</v>
      </c>
      <c r="BQ7" s="2">
        <v>0</v>
      </c>
      <c r="BR7" s="2">
        <v>0</v>
      </c>
      <c r="BS7" s="2">
        <v>0</v>
      </c>
      <c r="BT7" s="2">
        <v>1</v>
      </c>
      <c r="BU7" s="2">
        <v>0</v>
      </c>
      <c r="BV7" s="2">
        <v>0</v>
      </c>
      <c r="BW7" s="2">
        <v>0</v>
      </c>
      <c r="BX7" s="2">
        <v>0</v>
      </c>
      <c r="BY7" s="2">
        <v>0</v>
      </c>
      <c r="BZ7" s="2">
        <v>0</v>
      </c>
      <c r="CA7" s="2">
        <v>0</v>
      </c>
      <c r="CC7" s="1" t="s">
        <v>1155</v>
      </c>
      <c r="DQ7" s="1" t="s">
        <v>1397</v>
      </c>
      <c r="DR7" s="2">
        <v>1</v>
      </c>
      <c r="DS7" s="2">
        <v>0</v>
      </c>
      <c r="DT7" s="2">
        <v>0</v>
      </c>
      <c r="DU7" s="2">
        <v>0</v>
      </c>
      <c r="DV7" s="2">
        <v>0</v>
      </c>
      <c r="DX7" s="1" t="s">
        <v>1393</v>
      </c>
      <c r="DY7" s="2">
        <v>1</v>
      </c>
      <c r="DZ7" s="2">
        <v>0</v>
      </c>
      <c r="EA7" s="2">
        <v>0</v>
      </c>
      <c r="EB7" s="2">
        <v>0</v>
      </c>
      <c r="EC7" s="2">
        <v>0</v>
      </c>
      <c r="ED7" s="2">
        <v>0</v>
      </c>
      <c r="EE7" s="2">
        <v>0</v>
      </c>
      <c r="EF7" s="2">
        <v>0</v>
      </c>
      <c r="EG7" s="2">
        <v>0</v>
      </c>
      <c r="EH7" s="2">
        <v>0</v>
      </c>
      <c r="EI7" s="2">
        <v>0</v>
      </c>
      <c r="EJ7" s="2">
        <v>0</v>
      </c>
      <c r="EK7" s="2">
        <v>0</v>
      </c>
      <c r="EM7" s="1" t="s">
        <v>1164</v>
      </c>
      <c r="EN7" s="2">
        <v>0</v>
      </c>
      <c r="EO7" s="2">
        <v>0</v>
      </c>
      <c r="EP7" s="2">
        <v>0</v>
      </c>
      <c r="EQ7" s="2">
        <v>0</v>
      </c>
      <c r="ER7" s="2">
        <v>0</v>
      </c>
      <c r="ES7" s="2">
        <v>0</v>
      </c>
      <c r="ET7" s="2">
        <v>0</v>
      </c>
      <c r="EU7" s="2">
        <v>0</v>
      </c>
      <c r="EV7" s="2">
        <v>0</v>
      </c>
      <c r="EW7" s="2">
        <v>1</v>
      </c>
      <c r="EX7" s="2">
        <v>0</v>
      </c>
      <c r="EY7" s="2">
        <v>0</v>
      </c>
      <c r="EZ7" s="2">
        <v>0</v>
      </c>
      <c r="FB7" s="1" t="s">
        <v>1155</v>
      </c>
      <c r="GI7" s="1" t="s">
        <v>1402</v>
      </c>
      <c r="GJ7" s="2">
        <v>0</v>
      </c>
      <c r="GK7" s="2">
        <v>0</v>
      </c>
      <c r="GL7" s="2">
        <v>0</v>
      </c>
      <c r="GM7" s="2">
        <v>0</v>
      </c>
      <c r="GN7" s="2">
        <v>0</v>
      </c>
      <c r="GO7" s="2">
        <v>0</v>
      </c>
      <c r="GP7" s="2">
        <v>0</v>
      </c>
      <c r="GQ7" s="2">
        <v>1</v>
      </c>
      <c r="GR7" s="2">
        <v>0</v>
      </c>
      <c r="GS7" s="2">
        <v>0</v>
      </c>
      <c r="GT7" s="2">
        <v>0</v>
      </c>
      <c r="GU7" s="2">
        <v>0</v>
      </c>
      <c r="GV7" s="2">
        <v>0</v>
      </c>
      <c r="AVT7" s="1">
        <v>136622990</v>
      </c>
      <c r="AVU7" s="1" t="s">
        <v>3132</v>
      </c>
      <c r="AVW7" s="1">
        <v>276</v>
      </c>
    </row>
    <row r="8" spans="1:1271" s="1" customFormat="1" ht="14" x14ac:dyDescent="0.3">
      <c r="A8" s="1" t="s">
        <v>3133</v>
      </c>
      <c r="B8" s="1" t="s">
        <v>3134</v>
      </c>
      <c r="C8" s="1" t="s">
        <v>3135</v>
      </c>
      <c r="D8" s="1" t="s">
        <v>1754</v>
      </c>
      <c r="E8" s="2">
        <v>356676102907869</v>
      </c>
      <c r="F8" s="1" t="s">
        <v>3098</v>
      </c>
      <c r="H8" s="2"/>
      <c r="I8" s="1" t="s">
        <v>1659</v>
      </c>
      <c r="J8" s="1" t="s">
        <v>3090</v>
      </c>
      <c r="K8" s="1" t="s">
        <v>3090</v>
      </c>
      <c r="N8" s="1" t="s">
        <v>1153</v>
      </c>
      <c r="O8" s="2">
        <v>1</v>
      </c>
      <c r="P8" s="2">
        <v>0</v>
      </c>
      <c r="Q8" s="2">
        <v>0</v>
      </c>
      <c r="R8" s="2">
        <v>0</v>
      </c>
      <c r="S8" s="2">
        <v>0</v>
      </c>
      <c r="U8" s="1" t="s">
        <v>2167</v>
      </c>
      <c r="W8" s="1" t="s">
        <v>1155</v>
      </c>
      <c r="X8" s="1" t="s">
        <v>1156</v>
      </c>
      <c r="AN8" s="1" t="s">
        <v>1182</v>
      </c>
      <c r="AO8" s="2">
        <v>300</v>
      </c>
      <c r="AP8" s="1" t="s">
        <v>1196</v>
      </c>
      <c r="AR8" s="1" t="s">
        <v>1801</v>
      </c>
      <c r="AS8" s="1" t="s">
        <v>1164</v>
      </c>
      <c r="AT8" s="1" t="s">
        <v>1155</v>
      </c>
      <c r="BO8" s="1" t="s">
        <v>1802</v>
      </c>
      <c r="BP8" s="2">
        <v>0</v>
      </c>
      <c r="BQ8" s="2">
        <v>0</v>
      </c>
      <c r="BR8" s="2">
        <v>0</v>
      </c>
      <c r="BS8" s="2">
        <v>0</v>
      </c>
      <c r="BT8" s="2">
        <v>0</v>
      </c>
      <c r="BU8" s="2">
        <v>0</v>
      </c>
      <c r="BV8" s="2">
        <v>0</v>
      </c>
      <c r="BW8" s="2">
        <v>0</v>
      </c>
      <c r="BX8" s="2">
        <v>0</v>
      </c>
      <c r="BY8" s="2">
        <v>0</v>
      </c>
      <c r="BZ8" s="2">
        <v>1</v>
      </c>
      <c r="CA8" s="2">
        <v>0</v>
      </c>
      <c r="CC8" s="1" t="s">
        <v>1155</v>
      </c>
      <c r="DQ8" s="1" t="s">
        <v>1397</v>
      </c>
      <c r="DR8" s="2">
        <v>1</v>
      </c>
      <c r="DS8" s="2">
        <v>0</v>
      </c>
      <c r="DT8" s="2">
        <v>0</v>
      </c>
      <c r="DU8" s="2">
        <v>0</v>
      </c>
      <c r="DV8" s="2">
        <v>0</v>
      </c>
      <c r="DX8" s="1" t="s">
        <v>1393</v>
      </c>
      <c r="DY8" s="2">
        <v>1</v>
      </c>
      <c r="DZ8" s="2">
        <v>0</v>
      </c>
      <c r="EA8" s="2">
        <v>0</v>
      </c>
      <c r="EB8" s="2">
        <v>0</v>
      </c>
      <c r="EC8" s="2">
        <v>0</v>
      </c>
      <c r="ED8" s="2">
        <v>0</v>
      </c>
      <c r="EE8" s="2">
        <v>0</v>
      </c>
      <c r="EF8" s="2">
        <v>0</v>
      </c>
      <c r="EG8" s="2">
        <v>0</v>
      </c>
      <c r="EH8" s="2">
        <v>0</v>
      </c>
      <c r="EI8" s="2">
        <v>0</v>
      </c>
      <c r="EJ8" s="2">
        <v>0</v>
      </c>
      <c r="EK8" s="2">
        <v>0</v>
      </c>
      <c r="EM8" s="1" t="s">
        <v>1163</v>
      </c>
      <c r="EN8" s="2">
        <v>1</v>
      </c>
      <c r="EO8" s="2">
        <v>0</v>
      </c>
      <c r="EP8" s="2">
        <v>0</v>
      </c>
      <c r="EQ8" s="2">
        <v>0</v>
      </c>
      <c r="ER8" s="2">
        <v>0</v>
      </c>
      <c r="ES8" s="2">
        <v>0</v>
      </c>
      <c r="ET8" s="2">
        <v>0</v>
      </c>
      <c r="EU8" s="2">
        <v>0</v>
      </c>
      <c r="EV8" s="2">
        <v>0</v>
      </c>
      <c r="EW8" s="2">
        <v>0</v>
      </c>
      <c r="EX8" s="2">
        <v>0</v>
      </c>
      <c r="EY8" s="2">
        <v>0</v>
      </c>
      <c r="EZ8" s="2">
        <v>0</v>
      </c>
      <c r="FB8" s="1" t="s">
        <v>1155</v>
      </c>
      <c r="GI8" s="1" t="s">
        <v>1388</v>
      </c>
      <c r="GJ8" s="2">
        <v>1</v>
      </c>
      <c r="GK8" s="2">
        <v>0</v>
      </c>
      <c r="GL8" s="2">
        <v>0</v>
      </c>
      <c r="GM8" s="2">
        <v>0</v>
      </c>
      <c r="GN8" s="2">
        <v>0</v>
      </c>
      <c r="GO8" s="2">
        <v>0</v>
      </c>
      <c r="GP8" s="2">
        <v>0</v>
      </c>
      <c r="GQ8" s="2">
        <v>0</v>
      </c>
      <c r="GR8" s="2">
        <v>0</v>
      </c>
      <c r="GS8" s="2">
        <v>0</v>
      </c>
      <c r="GT8" s="2">
        <v>0</v>
      </c>
      <c r="GU8" s="2">
        <v>0</v>
      </c>
      <c r="GV8" s="2">
        <v>0</v>
      </c>
      <c r="AVT8" s="1">
        <v>136623007</v>
      </c>
      <c r="AVU8" s="1" t="s">
        <v>3136</v>
      </c>
      <c r="AVW8" s="1">
        <v>277</v>
      </c>
    </row>
    <row r="9" spans="1:1271" s="1" customFormat="1" ht="14" x14ac:dyDescent="0.3">
      <c r="A9" s="1" t="s">
        <v>3137</v>
      </c>
      <c r="B9" s="1" t="s">
        <v>3138</v>
      </c>
      <c r="C9" s="1" t="s">
        <v>3139</v>
      </c>
      <c r="D9" s="1" t="s">
        <v>1754</v>
      </c>
      <c r="E9" s="2">
        <v>356676102907869</v>
      </c>
      <c r="F9" s="1" t="s">
        <v>3098</v>
      </c>
      <c r="H9" s="2"/>
      <c r="I9" s="1" t="s">
        <v>1659</v>
      </c>
      <c r="J9" s="1" t="s">
        <v>3090</v>
      </c>
      <c r="K9" s="1" t="s">
        <v>3090</v>
      </c>
      <c r="N9" s="1" t="s">
        <v>1160</v>
      </c>
      <c r="O9" s="2">
        <v>0</v>
      </c>
      <c r="P9" s="2">
        <v>0</v>
      </c>
      <c r="Q9" s="2">
        <v>0</v>
      </c>
      <c r="R9" s="2">
        <v>0</v>
      </c>
      <c r="S9" s="2">
        <v>1</v>
      </c>
      <c r="AKT9" s="1" t="s">
        <v>3238</v>
      </c>
      <c r="AKU9" s="1" t="s">
        <v>1156</v>
      </c>
      <c r="ALF9" s="1" t="s">
        <v>1155</v>
      </c>
      <c r="ALG9" s="1" t="s">
        <v>1156</v>
      </c>
      <c r="ALN9" s="1" t="s">
        <v>3140</v>
      </c>
      <c r="ALO9" s="2">
        <v>1</v>
      </c>
      <c r="ALP9" s="2">
        <v>0</v>
      </c>
      <c r="ALQ9" s="2">
        <v>1</v>
      </c>
      <c r="ALR9" s="2">
        <v>0</v>
      </c>
      <c r="ALS9" s="2">
        <v>1</v>
      </c>
      <c r="ALT9" s="2">
        <v>0</v>
      </c>
      <c r="ALU9" s="2">
        <v>0</v>
      </c>
      <c r="ALV9" s="2">
        <v>0</v>
      </c>
      <c r="ALX9" s="1" t="s">
        <v>3141</v>
      </c>
      <c r="ALY9" s="2">
        <v>0</v>
      </c>
      <c r="ALZ9" s="2">
        <v>1</v>
      </c>
      <c r="AMA9" s="2">
        <v>0</v>
      </c>
      <c r="AMB9" s="2">
        <v>0</v>
      </c>
      <c r="AMC9" s="2">
        <v>0</v>
      </c>
      <c r="AMD9" s="2">
        <v>1</v>
      </c>
      <c r="AME9" s="2">
        <v>0</v>
      </c>
      <c r="AMF9" s="1" t="s">
        <v>1719</v>
      </c>
      <c r="AMG9" s="2">
        <v>1</v>
      </c>
      <c r="AMH9" s="2">
        <v>0</v>
      </c>
      <c r="AMI9" s="2">
        <v>0</v>
      </c>
      <c r="AMJ9" s="2">
        <v>0</v>
      </c>
      <c r="AMK9" s="2">
        <v>0</v>
      </c>
      <c r="AMM9" s="1" t="s">
        <v>1155</v>
      </c>
      <c r="AMW9" s="2">
        <v>43</v>
      </c>
      <c r="AMX9" s="1" t="s">
        <v>1156</v>
      </c>
      <c r="AMY9" s="1" t="s">
        <v>1166</v>
      </c>
      <c r="ANK9" s="1" t="s">
        <v>3142</v>
      </c>
      <c r="ANL9" s="2">
        <v>1</v>
      </c>
      <c r="ANM9" s="2">
        <v>0</v>
      </c>
      <c r="ANN9" s="2">
        <v>0</v>
      </c>
      <c r="ANO9" s="2">
        <v>0</v>
      </c>
      <c r="ANP9" s="2">
        <v>0</v>
      </c>
      <c r="ANQ9" s="2">
        <v>0</v>
      </c>
      <c r="ANR9" s="2">
        <v>1</v>
      </c>
      <c r="ANS9" s="2">
        <v>1</v>
      </c>
      <c r="ANT9" s="2">
        <v>0</v>
      </c>
      <c r="ANU9" s="2">
        <v>0</v>
      </c>
      <c r="ANV9" s="2">
        <v>0</v>
      </c>
      <c r="ANX9" s="1" t="s">
        <v>1155</v>
      </c>
      <c r="ANZ9" s="1" t="s">
        <v>2983</v>
      </c>
      <c r="AOA9" s="2">
        <v>1</v>
      </c>
      <c r="AOB9" s="2">
        <v>0</v>
      </c>
      <c r="AOC9" s="2">
        <v>0</v>
      </c>
      <c r="AOD9" s="2">
        <v>0</v>
      </c>
      <c r="AOE9" s="2">
        <v>0</v>
      </c>
      <c r="AOF9" s="2">
        <v>0</v>
      </c>
      <c r="AOG9" s="2">
        <v>0</v>
      </c>
      <c r="AOH9" s="2">
        <v>0</v>
      </c>
      <c r="AOJ9" s="1" t="s">
        <v>2245</v>
      </c>
      <c r="AOL9" s="1" t="s">
        <v>1168</v>
      </c>
      <c r="AOO9" s="1" t="s">
        <v>1198</v>
      </c>
      <c r="AOP9" s="2">
        <v>0</v>
      </c>
      <c r="AOQ9" s="2">
        <v>1</v>
      </c>
      <c r="AOR9" s="2">
        <v>0</v>
      </c>
      <c r="AOS9" s="2">
        <v>0</v>
      </c>
      <c r="AOT9" s="2">
        <v>0</v>
      </c>
      <c r="AOU9" s="2">
        <v>0</v>
      </c>
      <c r="AOV9" s="2">
        <v>0</v>
      </c>
      <c r="AOW9" s="2">
        <v>0</v>
      </c>
      <c r="AOY9" s="1" t="s">
        <v>2245</v>
      </c>
      <c r="APA9" s="1" t="s">
        <v>1168</v>
      </c>
      <c r="APD9" s="1" t="s">
        <v>1154</v>
      </c>
      <c r="APE9" s="1" t="s">
        <v>3239</v>
      </c>
      <c r="APF9" s="1" t="s">
        <v>1156</v>
      </c>
      <c r="APG9" s="1" t="s">
        <v>1166</v>
      </c>
      <c r="APQ9" s="1" t="s">
        <v>3143</v>
      </c>
      <c r="APR9" s="2">
        <v>1</v>
      </c>
      <c r="APS9" s="2">
        <v>0</v>
      </c>
      <c r="APT9" s="2">
        <v>0</v>
      </c>
      <c r="APU9" s="2">
        <v>1</v>
      </c>
      <c r="APV9" s="2">
        <v>0</v>
      </c>
      <c r="APW9" s="2">
        <v>0</v>
      </c>
      <c r="APX9" s="2">
        <v>0</v>
      </c>
      <c r="APZ9" s="1" t="s">
        <v>2248</v>
      </c>
      <c r="AQA9" s="2">
        <v>1</v>
      </c>
      <c r="AQB9" s="2">
        <v>0</v>
      </c>
      <c r="AQC9" s="2">
        <v>0</v>
      </c>
      <c r="AQD9" s="2">
        <v>0</v>
      </c>
      <c r="AQE9" s="2">
        <v>0</v>
      </c>
      <c r="AQF9" s="2">
        <v>0</v>
      </c>
      <c r="AQG9" s="1" t="s">
        <v>2249</v>
      </c>
      <c r="AQI9" s="146">
        <v>15000</v>
      </c>
      <c r="AQJ9" s="1" t="s">
        <v>1532</v>
      </c>
      <c r="ARG9" s="1" t="s">
        <v>1765</v>
      </c>
      <c r="ARH9" s="2">
        <v>0</v>
      </c>
      <c r="ARI9" s="2">
        <v>0</v>
      </c>
      <c r="ARJ9" s="2">
        <v>0</v>
      </c>
      <c r="ARK9" s="2">
        <v>0</v>
      </c>
      <c r="ARL9" s="2">
        <v>0</v>
      </c>
      <c r="ARM9" s="2">
        <v>0</v>
      </c>
      <c r="ARN9" s="2">
        <v>0</v>
      </c>
      <c r="ARO9" s="2">
        <v>0</v>
      </c>
      <c r="ARP9" s="2">
        <v>0</v>
      </c>
      <c r="ARQ9" s="2">
        <v>1</v>
      </c>
      <c r="ARR9" s="2">
        <v>0</v>
      </c>
      <c r="ARS9" s="2">
        <v>0</v>
      </c>
      <c r="ARU9" s="1" t="s">
        <v>1163</v>
      </c>
      <c r="ARV9" s="2">
        <v>1</v>
      </c>
      <c r="ARW9" s="2">
        <v>0</v>
      </c>
      <c r="ARX9" s="2">
        <v>0</v>
      </c>
      <c r="ARY9" s="2">
        <v>0</v>
      </c>
      <c r="ARZ9" s="2">
        <v>0</v>
      </c>
      <c r="ASA9" s="2">
        <v>0</v>
      </c>
      <c r="ASB9" s="2">
        <v>0</v>
      </c>
      <c r="ASD9" s="1" t="s">
        <v>1155</v>
      </c>
      <c r="ASN9" s="1" t="s">
        <v>1397</v>
      </c>
      <c r="ASO9" s="2">
        <v>1</v>
      </c>
      <c r="ASP9" s="2">
        <v>0</v>
      </c>
      <c r="ASQ9" s="2">
        <v>0</v>
      </c>
      <c r="ASR9" s="2">
        <v>0</v>
      </c>
      <c r="ASS9" s="2">
        <v>0</v>
      </c>
      <c r="ASU9" s="1" t="s">
        <v>3144</v>
      </c>
      <c r="ASV9" s="2">
        <v>1</v>
      </c>
      <c r="ASW9" s="2">
        <v>1</v>
      </c>
      <c r="ASX9" s="2">
        <v>0</v>
      </c>
      <c r="ASY9" s="2">
        <v>0</v>
      </c>
      <c r="ASZ9" s="2">
        <v>0</v>
      </c>
      <c r="ATA9" s="2">
        <v>0</v>
      </c>
      <c r="ATB9" s="2">
        <v>0</v>
      </c>
      <c r="ATC9" s="2">
        <v>0</v>
      </c>
      <c r="ATD9" s="2">
        <v>0</v>
      </c>
      <c r="ATE9" s="2">
        <v>0</v>
      </c>
      <c r="ATF9" s="2">
        <v>0</v>
      </c>
      <c r="ATG9" s="2">
        <v>0</v>
      </c>
      <c r="ATH9" s="2">
        <v>0</v>
      </c>
      <c r="ATJ9" s="1" t="s">
        <v>2988</v>
      </c>
      <c r="ATK9" s="2">
        <v>1</v>
      </c>
      <c r="ATL9" s="2">
        <v>0</v>
      </c>
      <c r="ATM9" s="2">
        <v>1</v>
      </c>
      <c r="ATN9" s="2">
        <v>0</v>
      </c>
      <c r="ATO9" s="2">
        <v>0</v>
      </c>
      <c r="ATP9" s="2">
        <v>0</v>
      </c>
      <c r="ATQ9" s="2">
        <v>0</v>
      </c>
      <c r="ATR9" s="2">
        <v>0</v>
      </c>
      <c r="ATS9" s="2">
        <v>0</v>
      </c>
      <c r="ATT9" s="2">
        <v>0</v>
      </c>
      <c r="ATU9" s="2">
        <v>0</v>
      </c>
      <c r="ATV9" s="2">
        <v>0</v>
      </c>
      <c r="ATW9" s="2">
        <v>0</v>
      </c>
      <c r="ATX9" s="2">
        <v>1</v>
      </c>
      <c r="ATY9" s="2">
        <v>0</v>
      </c>
      <c r="ATZ9" s="2">
        <v>0</v>
      </c>
      <c r="AUA9" s="2">
        <v>0</v>
      </c>
      <c r="AUC9" s="1" t="s">
        <v>1155</v>
      </c>
      <c r="AVG9" s="1" t="s">
        <v>3145</v>
      </c>
      <c r="AVH9" s="2">
        <v>1</v>
      </c>
      <c r="AVI9" s="2">
        <v>0</v>
      </c>
      <c r="AVJ9" s="2">
        <v>1</v>
      </c>
      <c r="AVK9" s="2">
        <v>0</v>
      </c>
      <c r="AVL9" s="2">
        <v>0</v>
      </c>
      <c r="AVM9" s="2">
        <v>0</v>
      </c>
      <c r="AVN9" s="2">
        <v>1</v>
      </c>
      <c r="AVO9" s="2">
        <v>0</v>
      </c>
      <c r="AVP9" s="2">
        <v>0</v>
      </c>
      <c r="AVT9" s="1">
        <v>136623024</v>
      </c>
      <c r="AVU9" s="1" t="s">
        <v>3146</v>
      </c>
      <c r="AVW9" s="1">
        <v>280</v>
      </c>
    </row>
    <row r="10" spans="1:1271" s="1" customFormat="1" ht="14" x14ac:dyDescent="0.3">
      <c r="A10" s="1" t="s">
        <v>3147</v>
      </c>
      <c r="B10" s="1" t="s">
        <v>3148</v>
      </c>
      <c r="C10" s="1" t="s">
        <v>3149</v>
      </c>
      <c r="D10" s="1" t="s">
        <v>3098</v>
      </c>
      <c r="E10" s="2">
        <v>356676102907869</v>
      </c>
      <c r="F10" s="1" t="s">
        <v>3098</v>
      </c>
      <c r="H10" s="2"/>
      <c r="I10" s="1" t="s">
        <v>1659</v>
      </c>
      <c r="J10" s="1" t="s">
        <v>3090</v>
      </c>
      <c r="K10" s="1" t="s">
        <v>3090</v>
      </c>
      <c r="N10" s="1" t="s">
        <v>1170</v>
      </c>
      <c r="O10" s="2">
        <v>0</v>
      </c>
      <c r="P10" s="2">
        <v>0</v>
      </c>
      <c r="Q10" s="2">
        <v>1</v>
      </c>
      <c r="R10" s="2">
        <v>0</v>
      </c>
      <c r="S10" s="2">
        <v>0</v>
      </c>
      <c r="ZS10" s="1" t="s">
        <v>3221</v>
      </c>
      <c r="ZT10" s="1" t="s">
        <v>1171</v>
      </c>
      <c r="ZV10" s="1" t="s">
        <v>1172</v>
      </c>
      <c r="ZX10" s="1" t="s">
        <v>1156</v>
      </c>
      <c r="ABE10" s="1" t="s">
        <v>1173</v>
      </c>
      <c r="ABF10" s="2">
        <v>1</v>
      </c>
      <c r="ABG10" s="2">
        <v>0</v>
      </c>
      <c r="ABH10" s="2">
        <v>0</v>
      </c>
      <c r="ABI10" s="2">
        <v>0</v>
      </c>
      <c r="ABJ10" s="2">
        <v>0</v>
      </c>
      <c r="ABL10" s="1" t="s">
        <v>1154</v>
      </c>
      <c r="ABM10" s="2">
        <v>0</v>
      </c>
      <c r="ABN10" s="2">
        <v>0</v>
      </c>
      <c r="ABO10" s="2">
        <v>0</v>
      </c>
      <c r="ABP10" s="2">
        <v>0</v>
      </c>
      <c r="ABQ10" s="2">
        <v>0</v>
      </c>
      <c r="ABR10" s="2">
        <v>0</v>
      </c>
      <c r="ABS10" s="2">
        <v>0</v>
      </c>
      <c r="ABT10" s="2">
        <v>0</v>
      </c>
      <c r="ABU10" s="2">
        <v>1</v>
      </c>
      <c r="ABV10" s="2">
        <v>0</v>
      </c>
      <c r="ABW10" s="2">
        <v>0</v>
      </c>
      <c r="ABX10" s="2">
        <v>0</v>
      </c>
      <c r="ABY10" s="1" t="s">
        <v>3223</v>
      </c>
      <c r="ABZ10" s="2">
        <v>3</v>
      </c>
      <c r="ACA10" s="1" t="s">
        <v>1155</v>
      </c>
      <c r="ACJ10" s="1" t="s">
        <v>1155</v>
      </c>
      <c r="ACM10" s="1" t="s">
        <v>1155</v>
      </c>
      <c r="ACN10" s="2">
        <v>427</v>
      </c>
      <c r="ACO10" s="2">
        <v>137</v>
      </c>
      <c r="ACP10" s="2">
        <v>290</v>
      </c>
      <c r="ACQ10" s="2">
        <v>290</v>
      </c>
      <c r="ACR10" s="2">
        <v>427</v>
      </c>
      <c r="ACT10" s="2">
        <v>7</v>
      </c>
      <c r="ACU10" s="2">
        <v>15</v>
      </c>
      <c r="ACV10" s="1" t="s">
        <v>1156</v>
      </c>
      <c r="ACW10" s="1" t="s">
        <v>1157</v>
      </c>
      <c r="ACX10" s="1" t="s">
        <v>3150</v>
      </c>
      <c r="ACY10" s="2">
        <v>0</v>
      </c>
      <c r="ACZ10" s="2">
        <v>1</v>
      </c>
      <c r="ADA10" s="2">
        <v>0</v>
      </c>
      <c r="ADB10" s="2">
        <v>0</v>
      </c>
      <c r="ADC10" s="2">
        <v>0</v>
      </c>
      <c r="ADD10" s="2">
        <v>0</v>
      </c>
      <c r="ADE10" s="2">
        <v>1</v>
      </c>
      <c r="ADQ10" s="2">
        <v>1</v>
      </c>
      <c r="ADR10" s="2">
        <v>0</v>
      </c>
      <c r="ADS10" s="2">
        <v>1</v>
      </c>
      <c r="ADT10" s="2">
        <v>1</v>
      </c>
      <c r="ADU10" s="2">
        <v>1</v>
      </c>
      <c r="ADW10" s="1" t="s">
        <v>1156</v>
      </c>
      <c r="ADX10" s="1" t="s">
        <v>1166</v>
      </c>
      <c r="AEG10" s="1" t="s">
        <v>2721</v>
      </c>
      <c r="AEH10" s="2">
        <v>1</v>
      </c>
      <c r="AEI10" s="2">
        <v>0</v>
      </c>
      <c r="AEJ10" s="2">
        <v>0</v>
      </c>
      <c r="AEK10" s="2">
        <v>0</v>
      </c>
      <c r="AEL10" s="2">
        <v>0</v>
      </c>
      <c r="AEM10" s="2">
        <v>0</v>
      </c>
      <c r="AEO10" s="2">
        <v>0</v>
      </c>
      <c r="AEP10" s="2">
        <v>0</v>
      </c>
      <c r="AEQ10" s="2">
        <v>0</v>
      </c>
      <c r="AER10" s="2">
        <v>0</v>
      </c>
      <c r="AES10" s="2">
        <v>0</v>
      </c>
      <c r="AEU10" s="1" t="s">
        <v>1155</v>
      </c>
      <c r="AFL10" s="2">
        <v>4</v>
      </c>
      <c r="AFM10" s="2">
        <v>0</v>
      </c>
      <c r="AFN10" s="2">
        <v>4</v>
      </c>
      <c r="AFO10" s="2">
        <v>4</v>
      </c>
      <c r="AFP10" s="2">
        <v>4</v>
      </c>
      <c r="AFR10" s="1" t="s">
        <v>1156</v>
      </c>
      <c r="AFS10" s="1" t="s">
        <v>1157</v>
      </c>
      <c r="AFT10" s="1" t="s">
        <v>1154</v>
      </c>
      <c r="AFU10" s="2">
        <v>0</v>
      </c>
      <c r="AFV10" s="2">
        <v>0</v>
      </c>
      <c r="AFW10" s="2">
        <v>0</v>
      </c>
      <c r="AFX10" s="2">
        <v>0</v>
      </c>
      <c r="AFY10" s="2">
        <v>1</v>
      </c>
      <c r="AFZ10" s="1" t="s">
        <v>3225</v>
      </c>
      <c r="AGH10" s="1" t="s">
        <v>1156</v>
      </c>
      <c r="AGI10" s="1" t="s">
        <v>1187</v>
      </c>
      <c r="AGJ10" s="1" t="s">
        <v>1155</v>
      </c>
      <c r="AHQ10" s="1" t="s">
        <v>3151</v>
      </c>
      <c r="AHR10" s="2">
        <v>1</v>
      </c>
      <c r="AHS10" s="2">
        <v>1</v>
      </c>
      <c r="AHT10" s="2">
        <v>0</v>
      </c>
      <c r="AHU10" s="2">
        <v>0</v>
      </c>
      <c r="AHV10" s="2">
        <v>0</v>
      </c>
      <c r="AHX10" s="1" t="s">
        <v>3152</v>
      </c>
      <c r="AHY10" s="2">
        <v>0</v>
      </c>
      <c r="AHZ10" s="2">
        <v>1</v>
      </c>
      <c r="AIA10" s="2">
        <v>1</v>
      </c>
      <c r="AIB10" s="2">
        <v>1</v>
      </c>
      <c r="AIC10" s="2">
        <v>0</v>
      </c>
      <c r="AID10" s="2">
        <v>0</v>
      </c>
      <c r="AIE10" s="2">
        <v>0</v>
      </c>
      <c r="AIF10" s="2">
        <v>0</v>
      </c>
      <c r="AIG10" s="2">
        <v>0</v>
      </c>
      <c r="AIH10" s="2">
        <v>0</v>
      </c>
      <c r="AII10" s="2">
        <v>0</v>
      </c>
      <c r="AIK10" s="1" t="s">
        <v>1188</v>
      </c>
      <c r="AIL10" s="2">
        <v>0</v>
      </c>
      <c r="AIM10" s="2">
        <v>1</v>
      </c>
      <c r="AIN10" s="2">
        <v>0</v>
      </c>
      <c r="AIO10" s="2">
        <v>0</v>
      </c>
      <c r="AIP10" s="2">
        <v>0</v>
      </c>
      <c r="AIQ10" s="2">
        <v>0</v>
      </c>
      <c r="AIR10" s="2">
        <v>0</v>
      </c>
      <c r="AIS10" s="2">
        <v>0</v>
      </c>
      <c r="AIT10" s="2">
        <v>0</v>
      </c>
      <c r="AIU10" s="2">
        <v>0</v>
      </c>
      <c r="AIV10" s="2">
        <v>0</v>
      </c>
      <c r="AIW10" s="2">
        <v>0</v>
      </c>
      <c r="AIX10" s="2">
        <v>0</v>
      </c>
      <c r="AIZ10" s="1" t="s">
        <v>1155</v>
      </c>
      <c r="AKF10" s="1" t="s">
        <v>3153</v>
      </c>
      <c r="AKG10" s="2">
        <v>0</v>
      </c>
      <c r="AKH10" s="2">
        <v>0</v>
      </c>
      <c r="AKI10" s="2">
        <v>1</v>
      </c>
      <c r="AKJ10" s="2">
        <v>1</v>
      </c>
      <c r="AKK10" s="2">
        <v>0</v>
      </c>
      <c r="AKL10" s="2">
        <v>0</v>
      </c>
      <c r="AKM10" s="2">
        <v>1</v>
      </c>
      <c r="AKN10" s="2">
        <v>1</v>
      </c>
      <c r="AKO10" s="2">
        <v>0</v>
      </c>
      <c r="AKP10" s="2">
        <v>0</v>
      </c>
      <c r="AKQ10" s="2">
        <v>0</v>
      </c>
      <c r="AKR10" s="2">
        <v>0</v>
      </c>
      <c r="AVT10" s="1">
        <v>136623041</v>
      </c>
      <c r="AVU10" s="1" t="s">
        <v>3154</v>
      </c>
      <c r="AVW10" s="1">
        <v>281</v>
      </c>
    </row>
    <row r="11" spans="1:1271" s="1" customFormat="1" ht="14" x14ac:dyDescent="0.3">
      <c r="A11" s="1" t="s">
        <v>3155</v>
      </c>
      <c r="B11" s="1" t="s">
        <v>3156</v>
      </c>
      <c r="C11" s="1" t="s">
        <v>3157</v>
      </c>
      <c r="D11" s="1" t="s">
        <v>1775</v>
      </c>
      <c r="E11" s="2">
        <v>356676102908909</v>
      </c>
      <c r="F11" s="1" t="s">
        <v>1754</v>
      </c>
      <c r="H11" s="2"/>
      <c r="I11" s="1" t="s">
        <v>1659</v>
      </c>
      <c r="J11" s="1" t="s">
        <v>3090</v>
      </c>
      <c r="K11" s="1" t="s">
        <v>3090</v>
      </c>
      <c r="N11" s="1" t="s">
        <v>1170</v>
      </c>
      <c r="O11" s="2">
        <v>0</v>
      </c>
      <c r="P11" s="2">
        <v>0</v>
      </c>
      <c r="Q11" s="2">
        <v>1</v>
      </c>
      <c r="R11" s="2">
        <v>0</v>
      </c>
      <c r="S11" s="2">
        <v>0</v>
      </c>
      <c r="ZS11" s="1" t="s">
        <v>3158</v>
      </c>
      <c r="ZT11" s="1" t="s">
        <v>1171</v>
      </c>
      <c r="ZV11" s="1" t="s">
        <v>1172</v>
      </c>
      <c r="ZX11" s="1" t="s">
        <v>1156</v>
      </c>
      <c r="ABE11" s="1" t="s">
        <v>1173</v>
      </c>
      <c r="ABF11" s="2">
        <v>1</v>
      </c>
      <c r="ABG11" s="2">
        <v>0</v>
      </c>
      <c r="ABH11" s="2">
        <v>0</v>
      </c>
      <c r="ABI11" s="2">
        <v>0</v>
      </c>
      <c r="ABJ11" s="2">
        <v>0</v>
      </c>
      <c r="ABL11" s="1" t="s">
        <v>3159</v>
      </c>
      <c r="ABM11" s="2">
        <v>1</v>
      </c>
      <c r="ABN11" s="2">
        <v>0</v>
      </c>
      <c r="ABO11" s="2">
        <v>0</v>
      </c>
      <c r="ABP11" s="2">
        <v>0</v>
      </c>
      <c r="ABQ11" s="2">
        <v>0</v>
      </c>
      <c r="ABR11" s="2">
        <v>0</v>
      </c>
      <c r="ABS11" s="2">
        <v>0</v>
      </c>
      <c r="ABT11" s="2">
        <v>0</v>
      </c>
      <c r="ABU11" s="2">
        <v>1</v>
      </c>
      <c r="ABV11" s="2">
        <v>0</v>
      </c>
      <c r="ABW11" s="2">
        <v>0</v>
      </c>
      <c r="ABX11" s="2">
        <v>0</v>
      </c>
      <c r="ABY11" s="1" t="s">
        <v>3160</v>
      </c>
      <c r="ABZ11" s="2">
        <v>3</v>
      </c>
      <c r="ACA11" s="1" t="s">
        <v>1156</v>
      </c>
      <c r="ACB11" s="2">
        <v>2</v>
      </c>
      <c r="ACC11" s="1" t="s">
        <v>1156</v>
      </c>
      <c r="ACD11" s="2">
        <v>1</v>
      </c>
      <c r="ACE11" s="2">
        <v>1</v>
      </c>
      <c r="ACF11" s="2">
        <v>1</v>
      </c>
      <c r="ACG11" s="2">
        <v>2</v>
      </c>
      <c r="ACI11" s="1" t="s">
        <v>1155</v>
      </c>
      <c r="ACJ11" s="1" t="s">
        <v>1155</v>
      </c>
      <c r="ACM11" s="1" t="s">
        <v>1155</v>
      </c>
      <c r="ACN11" s="2">
        <v>479</v>
      </c>
      <c r="ACO11" s="2">
        <v>152</v>
      </c>
      <c r="ACP11" s="2">
        <v>327</v>
      </c>
      <c r="ACQ11" s="2">
        <v>327</v>
      </c>
      <c r="ACR11" s="2">
        <v>479</v>
      </c>
      <c r="ACT11" s="2">
        <v>6</v>
      </c>
      <c r="ACU11" s="2">
        <v>18</v>
      </c>
      <c r="ACV11" s="1" t="s">
        <v>1156</v>
      </c>
      <c r="ACW11" s="1" t="s">
        <v>1186</v>
      </c>
      <c r="ACX11" s="1" t="s">
        <v>2212</v>
      </c>
      <c r="ACY11" s="2">
        <v>1</v>
      </c>
      <c r="ACZ11" s="2">
        <v>0</v>
      </c>
      <c r="ADA11" s="2">
        <v>0</v>
      </c>
      <c r="ADB11" s="2">
        <v>0</v>
      </c>
      <c r="ADC11" s="2">
        <v>0</v>
      </c>
      <c r="ADD11" s="2">
        <v>0</v>
      </c>
      <c r="ADE11" s="2">
        <v>1</v>
      </c>
      <c r="ADQ11" s="2">
        <v>0</v>
      </c>
      <c r="ADR11" s="2">
        <v>0</v>
      </c>
      <c r="ADS11" s="2">
        <v>0</v>
      </c>
      <c r="ADT11" s="2">
        <v>0</v>
      </c>
      <c r="ADU11" s="2">
        <v>0</v>
      </c>
      <c r="ADW11" s="1" t="s">
        <v>1162</v>
      </c>
      <c r="AEO11" s="2">
        <v>0</v>
      </c>
      <c r="AEP11" s="2">
        <v>0</v>
      </c>
      <c r="AEQ11" s="2">
        <v>0</v>
      </c>
      <c r="AER11" s="2">
        <v>0</v>
      </c>
      <c r="AES11" s="2">
        <v>0</v>
      </c>
      <c r="AEU11" s="1" t="s">
        <v>1162</v>
      </c>
      <c r="AFL11" s="2">
        <v>4</v>
      </c>
      <c r="AFM11" s="2">
        <v>0</v>
      </c>
      <c r="AFN11" s="2">
        <v>4</v>
      </c>
      <c r="AFO11" s="2">
        <v>4</v>
      </c>
      <c r="AFP11" s="2">
        <v>4</v>
      </c>
      <c r="AFR11" s="1" t="s">
        <v>1155</v>
      </c>
      <c r="AGH11" s="1" t="s">
        <v>1174</v>
      </c>
      <c r="AGI11" s="1" t="s">
        <v>1187</v>
      </c>
      <c r="AGJ11" s="1" t="s">
        <v>1156</v>
      </c>
      <c r="AGK11" s="2">
        <v>150</v>
      </c>
      <c r="AGL11" s="1" t="s">
        <v>3020</v>
      </c>
      <c r="AGM11" s="2">
        <v>1</v>
      </c>
      <c r="AGN11" s="2">
        <v>0</v>
      </c>
      <c r="AGO11" s="2">
        <v>0</v>
      </c>
      <c r="AGP11" s="2">
        <v>0</v>
      </c>
      <c r="AGQ11" s="2">
        <v>0</v>
      </c>
      <c r="AGR11" s="2">
        <v>0</v>
      </c>
      <c r="AGT11" s="1" t="s">
        <v>1155</v>
      </c>
      <c r="AHQ11" s="1" t="s">
        <v>1164</v>
      </c>
      <c r="AHR11" s="2">
        <v>0</v>
      </c>
      <c r="AHS11" s="2">
        <v>0</v>
      </c>
      <c r="AHT11" s="2">
        <v>0</v>
      </c>
      <c r="AHU11" s="2">
        <v>0</v>
      </c>
      <c r="AHV11" s="2">
        <v>1</v>
      </c>
      <c r="AHX11" s="1" t="s">
        <v>2160</v>
      </c>
      <c r="AHY11" s="2">
        <v>1</v>
      </c>
      <c r="AHZ11" s="2">
        <v>1</v>
      </c>
      <c r="AIA11" s="2">
        <v>1</v>
      </c>
      <c r="AIB11" s="2">
        <v>1</v>
      </c>
      <c r="AIC11" s="2">
        <v>0</v>
      </c>
      <c r="AID11" s="2">
        <v>0</v>
      </c>
      <c r="AIE11" s="2">
        <v>0</v>
      </c>
      <c r="AIF11" s="2">
        <v>0</v>
      </c>
      <c r="AIG11" s="2">
        <v>0</v>
      </c>
      <c r="AIH11" s="2">
        <v>0</v>
      </c>
      <c r="AII11" s="2">
        <v>0</v>
      </c>
      <c r="AIK11" s="1" t="s">
        <v>1164</v>
      </c>
      <c r="AIL11" s="2">
        <v>0</v>
      </c>
      <c r="AIM11" s="2">
        <v>0</v>
      </c>
      <c r="AIN11" s="2">
        <v>0</v>
      </c>
      <c r="AIO11" s="2">
        <v>0</v>
      </c>
      <c r="AIP11" s="2">
        <v>0</v>
      </c>
      <c r="AIQ11" s="2">
        <v>0</v>
      </c>
      <c r="AIR11" s="2">
        <v>0</v>
      </c>
      <c r="AIS11" s="2">
        <v>0</v>
      </c>
      <c r="AIT11" s="2">
        <v>0</v>
      </c>
      <c r="AIU11" s="2">
        <v>1</v>
      </c>
      <c r="AIV11" s="2">
        <v>0</v>
      </c>
      <c r="AIW11" s="2">
        <v>0</v>
      </c>
      <c r="AIX11" s="2">
        <v>0</v>
      </c>
      <c r="AIZ11" s="1" t="s">
        <v>1156</v>
      </c>
      <c r="AJA11" s="1" t="s">
        <v>1158</v>
      </c>
      <c r="AJB11" s="2">
        <v>0</v>
      </c>
      <c r="AJC11" s="2">
        <v>0</v>
      </c>
      <c r="AJD11" s="2">
        <v>0</v>
      </c>
      <c r="AJE11" s="2">
        <v>0</v>
      </c>
      <c r="AJF11" s="2">
        <v>1</v>
      </c>
      <c r="AJG11" s="2">
        <v>0</v>
      </c>
      <c r="AJH11" s="2">
        <v>0</v>
      </c>
      <c r="AJJ11" s="1" t="s">
        <v>3161</v>
      </c>
      <c r="AJK11" s="2">
        <v>1</v>
      </c>
      <c r="AJL11" s="2">
        <v>0</v>
      </c>
      <c r="AJM11" s="2">
        <v>0</v>
      </c>
      <c r="AJN11" s="2">
        <v>0</v>
      </c>
      <c r="AJO11" s="2">
        <v>0</v>
      </c>
      <c r="AJP11" s="2">
        <v>0</v>
      </c>
      <c r="AJQ11" s="2">
        <v>1</v>
      </c>
      <c r="AJR11" s="2">
        <v>0</v>
      </c>
      <c r="AJS11" s="2">
        <v>0</v>
      </c>
      <c r="AJT11" s="2">
        <v>0</v>
      </c>
      <c r="AJU11" s="2">
        <v>0</v>
      </c>
      <c r="AJV11" s="2">
        <v>0</v>
      </c>
      <c r="AJX11" s="1" t="s">
        <v>1155</v>
      </c>
      <c r="AJY11" s="1" t="s">
        <v>1180</v>
      </c>
      <c r="AJZ11" s="2">
        <v>1</v>
      </c>
      <c r="AKA11" s="2">
        <v>0</v>
      </c>
      <c r="AKB11" s="2">
        <v>0</v>
      </c>
      <c r="AKC11" s="2">
        <v>0</v>
      </c>
      <c r="AKD11" s="2">
        <v>0</v>
      </c>
      <c r="AKF11" s="1" t="s">
        <v>3162</v>
      </c>
      <c r="AKG11" s="2">
        <v>1</v>
      </c>
      <c r="AKH11" s="2">
        <v>0</v>
      </c>
      <c r="AKI11" s="2">
        <v>1</v>
      </c>
      <c r="AKJ11" s="2">
        <v>0</v>
      </c>
      <c r="AKK11" s="2">
        <v>0</v>
      </c>
      <c r="AKL11" s="2">
        <v>1</v>
      </c>
      <c r="AKM11" s="2">
        <v>1</v>
      </c>
      <c r="AKN11" s="2">
        <v>1</v>
      </c>
      <c r="AKO11" s="2">
        <v>0</v>
      </c>
      <c r="AKP11" s="2">
        <v>0</v>
      </c>
      <c r="AKQ11" s="2">
        <v>0</v>
      </c>
      <c r="AKR11" s="2">
        <v>1</v>
      </c>
      <c r="AKS11" s="1" t="s">
        <v>3228</v>
      </c>
      <c r="AVT11" s="1">
        <v>136624232</v>
      </c>
      <c r="AVU11" s="1" t="s">
        <v>3163</v>
      </c>
      <c r="AVW11" s="1">
        <v>323</v>
      </c>
    </row>
    <row r="12" spans="1:1271" s="1" customFormat="1" ht="14" x14ac:dyDescent="0.3">
      <c r="A12" s="1" t="s">
        <v>3164</v>
      </c>
      <c r="B12" s="1" t="s">
        <v>3165</v>
      </c>
      <c r="C12" s="1" t="s">
        <v>3166</v>
      </c>
      <c r="D12" s="1" t="s">
        <v>1754</v>
      </c>
      <c r="E12" s="2">
        <v>356676102908909</v>
      </c>
      <c r="F12" s="1" t="s">
        <v>3098</v>
      </c>
      <c r="H12" s="2"/>
      <c r="I12" s="1" t="s">
        <v>1659</v>
      </c>
      <c r="J12" s="1" t="s">
        <v>3090</v>
      </c>
      <c r="K12" s="1" t="s">
        <v>3090</v>
      </c>
      <c r="N12" s="1" t="s">
        <v>1153</v>
      </c>
      <c r="O12" s="2">
        <v>1</v>
      </c>
      <c r="P12" s="2">
        <v>0</v>
      </c>
      <c r="Q12" s="2">
        <v>0</v>
      </c>
      <c r="R12" s="2">
        <v>0</v>
      </c>
      <c r="S12" s="2">
        <v>0</v>
      </c>
      <c r="U12" s="1" t="s">
        <v>2277</v>
      </c>
      <c r="W12" s="1" t="s">
        <v>1155</v>
      </c>
      <c r="X12" s="1" t="s">
        <v>1708</v>
      </c>
      <c r="Y12" s="1" t="s">
        <v>2936</v>
      </c>
      <c r="AA12" s="1" t="s">
        <v>1671</v>
      </c>
      <c r="AN12" s="1" t="s">
        <v>1192</v>
      </c>
      <c r="AO12" s="2">
        <v>50</v>
      </c>
      <c r="AP12" s="1" t="s">
        <v>2559</v>
      </c>
      <c r="AR12" s="1" t="s">
        <v>1710</v>
      </c>
      <c r="AS12" s="1" t="s">
        <v>1833</v>
      </c>
      <c r="AT12" s="1" t="s">
        <v>1156</v>
      </c>
      <c r="AU12" s="1" t="s">
        <v>1166</v>
      </c>
      <c r="BF12" s="1" t="s">
        <v>1517</v>
      </c>
      <c r="BG12" s="2">
        <v>1</v>
      </c>
      <c r="BH12" s="2">
        <v>0</v>
      </c>
      <c r="BI12" s="2">
        <v>0</v>
      </c>
      <c r="BJ12" s="2">
        <v>0</v>
      </c>
      <c r="BK12" s="2">
        <v>0</v>
      </c>
      <c r="BL12" s="2">
        <v>0</v>
      </c>
      <c r="BM12" s="2">
        <v>0</v>
      </c>
      <c r="BO12" s="1" t="s">
        <v>1159</v>
      </c>
      <c r="BP12" s="2">
        <v>0</v>
      </c>
      <c r="BQ12" s="2">
        <v>0</v>
      </c>
      <c r="BR12" s="2">
        <v>1</v>
      </c>
      <c r="BS12" s="2">
        <v>0</v>
      </c>
      <c r="BT12" s="2">
        <v>0</v>
      </c>
      <c r="BU12" s="2">
        <v>0</v>
      </c>
      <c r="BV12" s="2">
        <v>0</v>
      </c>
      <c r="BW12" s="2">
        <v>0</v>
      </c>
      <c r="BX12" s="2">
        <v>0</v>
      </c>
      <c r="BY12" s="2">
        <v>0</v>
      </c>
      <c r="BZ12" s="2">
        <v>0</v>
      </c>
      <c r="CA12" s="2">
        <v>0</v>
      </c>
      <c r="CC12" s="1" t="s">
        <v>1155</v>
      </c>
      <c r="DQ12" s="1" t="s">
        <v>1164</v>
      </c>
      <c r="DR12" s="2">
        <v>0</v>
      </c>
      <c r="DS12" s="2">
        <v>0</v>
      </c>
      <c r="DT12" s="2">
        <v>0</v>
      </c>
      <c r="DU12" s="2">
        <v>0</v>
      </c>
      <c r="DV12" s="2">
        <v>1</v>
      </c>
      <c r="DX12" s="1" t="s">
        <v>2147</v>
      </c>
      <c r="DY12" s="2">
        <v>0</v>
      </c>
      <c r="DZ12" s="2">
        <v>0</v>
      </c>
      <c r="EA12" s="2">
        <v>0</v>
      </c>
      <c r="EB12" s="2">
        <v>0</v>
      </c>
      <c r="EC12" s="2">
        <v>0</v>
      </c>
      <c r="ED12" s="2">
        <v>0</v>
      </c>
      <c r="EE12" s="2">
        <v>0</v>
      </c>
      <c r="EF12" s="2">
        <v>1</v>
      </c>
      <c r="EG12" s="2">
        <v>0</v>
      </c>
      <c r="EH12" s="2">
        <v>0</v>
      </c>
      <c r="EI12" s="2">
        <v>0</v>
      </c>
      <c r="EJ12" s="2">
        <v>0</v>
      </c>
      <c r="EK12" s="2">
        <v>0</v>
      </c>
      <c r="EM12" s="1" t="s">
        <v>1164</v>
      </c>
      <c r="EN12" s="2">
        <v>0</v>
      </c>
      <c r="EO12" s="2">
        <v>0</v>
      </c>
      <c r="EP12" s="2">
        <v>0</v>
      </c>
      <c r="EQ12" s="2">
        <v>0</v>
      </c>
      <c r="ER12" s="2">
        <v>0</v>
      </c>
      <c r="ES12" s="2">
        <v>0</v>
      </c>
      <c r="ET12" s="2">
        <v>0</v>
      </c>
      <c r="EU12" s="2">
        <v>0</v>
      </c>
      <c r="EV12" s="2">
        <v>0</v>
      </c>
      <c r="EW12" s="2">
        <v>1</v>
      </c>
      <c r="EX12" s="2">
        <v>0</v>
      </c>
      <c r="EY12" s="2">
        <v>0</v>
      </c>
      <c r="EZ12" s="2">
        <v>0</v>
      </c>
      <c r="FB12" s="1" t="s">
        <v>1155</v>
      </c>
      <c r="GI12" s="1" t="s">
        <v>3167</v>
      </c>
      <c r="GJ12" s="2">
        <v>0</v>
      </c>
      <c r="GK12" s="2">
        <v>0</v>
      </c>
      <c r="GL12" s="2">
        <v>0</v>
      </c>
      <c r="GM12" s="2">
        <v>0</v>
      </c>
      <c r="GN12" s="2">
        <v>0</v>
      </c>
      <c r="GO12" s="2">
        <v>0</v>
      </c>
      <c r="GP12" s="2">
        <v>1</v>
      </c>
      <c r="GQ12" s="2">
        <v>1</v>
      </c>
      <c r="GR12" s="2">
        <v>0</v>
      </c>
      <c r="GS12" s="2">
        <v>0</v>
      </c>
      <c r="GT12" s="2">
        <v>0</v>
      </c>
      <c r="GU12" s="2">
        <v>0</v>
      </c>
      <c r="GV12" s="2">
        <v>0</v>
      </c>
      <c r="AVT12" s="1">
        <v>136624325</v>
      </c>
      <c r="AVU12" s="1" t="s">
        <v>3168</v>
      </c>
      <c r="AVW12" s="1">
        <v>325</v>
      </c>
    </row>
    <row r="13" spans="1:1271" s="1" customFormat="1" ht="14" x14ac:dyDescent="0.3">
      <c r="A13" s="1" t="s">
        <v>3169</v>
      </c>
      <c r="B13" s="1" t="s">
        <v>3170</v>
      </c>
      <c r="C13" s="1" t="s">
        <v>3171</v>
      </c>
      <c r="D13" s="1" t="s">
        <v>1754</v>
      </c>
      <c r="E13" s="2">
        <v>356676102908909</v>
      </c>
      <c r="F13" s="1" t="s">
        <v>3098</v>
      </c>
      <c r="H13" s="2"/>
      <c r="I13" s="1" t="s">
        <v>1659</v>
      </c>
      <c r="J13" s="1" t="s">
        <v>3090</v>
      </c>
      <c r="K13" s="1" t="s">
        <v>3090</v>
      </c>
      <c r="N13" s="1" t="s">
        <v>1153</v>
      </c>
      <c r="O13" s="2">
        <v>1</v>
      </c>
      <c r="P13" s="2">
        <v>0</v>
      </c>
      <c r="Q13" s="2">
        <v>0</v>
      </c>
      <c r="R13" s="2">
        <v>0</v>
      </c>
      <c r="S13" s="2">
        <v>0</v>
      </c>
      <c r="U13" s="1" t="s">
        <v>2167</v>
      </c>
      <c r="W13" s="1" t="s">
        <v>1155</v>
      </c>
      <c r="X13" s="1" t="s">
        <v>1708</v>
      </c>
      <c r="Y13" s="1" t="s">
        <v>1184</v>
      </c>
      <c r="AA13" s="1" t="s">
        <v>1709</v>
      </c>
      <c r="AN13" s="1" t="s">
        <v>1192</v>
      </c>
      <c r="AO13" s="2">
        <v>35</v>
      </c>
      <c r="AP13" s="1" t="s">
        <v>1196</v>
      </c>
      <c r="AR13" s="1" t="s">
        <v>1801</v>
      </c>
      <c r="AS13" s="1" t="s">
        <v>1833</v>
      </c>
      <c r="AT13" s="1" t="s">
        <v>1155</v>
      </c>
      <c r="BO13" s="1" t="s">
        <v>1159</v>
      </c>
      <c r="BP13" s="2">
        <v>0</v>
      </c>
      <c r="BQ13" s="2">
        <v>0</v>
      </c>
      <c r="BR13" s="2">
        <v>1</v>
      </c>
      <c r="BS13" s="2">
        <v>0</v>
      </c>
      <c r="BT13" s="2">
        <v>0</v>
      </c>
      <c r="BU13" s="2">
        <v>0</v>
      </c>
      <c r="BV13" s="2">
        <v>0</v>
      </c>
      <c r="BW13" s="2">
        <v>0</v>
      </c>
      <c r="BX13" s="2">
        <v>0</v>
      </c>
      <c r="BY13" s="2">
        <v>0</v>
      </c>
      <c r="BZ13" s="2">
        <v>0</v>
      </c>
      <c r="CA13" s="2">
        <v>0</v>
      </c>
      <c r="CC13" s="1" t="s">
        <v>1155</v>
      </c>
      <c r="DQ13" s="1" t="s">
        <v>1164</v>
      </c>
      <c r="DR13" s="2">
        <v>0</v>
      </c>
      <c r="DS13" s="2">
        <v>0</v>
      </c>
      <c r="DT13" s="2">
        <v>0</v>
      </c>
      <c r="DU13" s="2">
        <v>0</v>
      </c>
      <c r="DV13" s="2">
        <v>1</v>
      </c>
      <c r="DX13" s="1" t="s">
        <v>2147</v>
      </c>
      <c r="DY13" s="2">
        <v>0</v>
      </c>
      <c r="DZ13" s="2">
        <v>0</v>
      </c>
      <c r="EA13" s="2">
        <v>0</v>
      </c>
      <c r="EB13" s="2">
        <v>0</v>
      </c>
      <c r="EC13" s="2">
        <v>0</v>
      </c>
      <c r="ED13" s="2">
        <v>0</v>
      </c>
      <c r="EE13" s="2">
        <v>0</v>
      </c>
      <c r="EF13" s="2">
        <v>1</v>
      </c>
      <c r="EG13" s="2">
        <v>0</v>
      </c>
      <c r="EH13" s="2">
        <v>0</v>
      </c>
      <c r="EI13" s="2">
        <v>0</v>
      </c>
      <c r="EJ13" s="2">
        <v>0</v>
      </c>
      <c r="EK13" s="2">
        <v>0</v>
      </c>
      <c r="EM13" s="1" t="s">
        <v>1164</v>
      </c>
      <c r="EN13" s="2">
        <v>0</v>
      </c>
      <c r="EO13" s="2">
        <v>0</v>
      </c>
      <c r="EP13" s="2">
        <v>0</v>
      </c>
      <c r="EQ13" s="2">
        <v>0</v>
      </c>
      <c r="ER13" s="2">
        <v>0</v>
      </c>
      <c r="ES13" s="2">
        <v>0</v>
      </c>
      <c r="ET13" s="2">
        <v>0</v>
      </c>
      <c r="EU13" s="2">
        <v>0</v>
      </c>
      <c r="EV13" s="2">
        <v>0</v>
      </c>
      <c r="EW13" s="2">
        <v>1</v>
      </c>
      <c r="EX13" s="2">
        <v>0</v>
      </c>
      <c r="EY13" s="2">
        <v>0</v>
      </c>
      <c r="EZ13" s="2">
        <v>0</v>
      </c>
      <c r="FB13" s="1" t="s">
        <v>1155</v>
      </c>
      <c r="GI13" s="1" t="s">
        <v>2873</v>
      </c>
      <c r="GJ13" s="2">
        <v>0</v>
      </c>
      <c r="GK13" s="2">
        <v>1</v>
      </c>
      <c r="GL13" s="2">
        <v>0</v>
      </c>
      <c r="GM13" s="2">
        <v>0</v>
      </c>
      <c r="GN13" s="2">
        <v>0</v>
      </c>
      <c r="GO13" s="2">
        <v>0</v>
      </c>
      <c r="GP13" s="2">
        <v>0</v>
      </c>
      <c r="GQ13" s="2">
        <v>1</v>
      </c>
      <c r="GR13" s="2">
        <v>1</v>
      </c>
      <c r="GS13" s="2">
        <v>0</v>
      </c>
      <c r="GT13" s="2">
        <v>0</v>
      </c>
      <c r="GU13" s="2">
        <v>0</v>
      </c>
      <c r="GV13" s="2">
        <v>0</v>
      </c>
      <c r="AVT13" s="1">
        <v>136624406</v>
      </c>
      <c r="AVU13" s="1" t="s">
        <v>3172</v>
      </c>
      <c r="AVW13" s="1">
        <v>327</v>
      </c>
    </row>
    <row r="14" spans="1:1271" s="1" customFormat="1" ht="14" x14ac:dyDescent="0.3">
      <c r="A14" s="1" t="s">
        <v>3173</v>
      </c>
      <c r="B14" s="1" t="s">
        <v>3174</v>
      </c>
      <c r="C14" s="1" t="s">
        <v>3175</v>
      </c>
      <c r="D14" s="1" t="s">
        <v>1775</v>
      </c>
      <c r="E14" s="2">
        <v>356676102903926</v>
      </c>
      <c r="F14" s="1" t="s">
        <v>1754</v>
      </c>
      <c r="H14" s="2"/>
      <c r="I14" s="1" t="s">
        <v>1659</v>
      </c>
      <c r="J14" s="1" t="s">
        <v>3090</v>
      </c>
      <c r="K14" s="1" t="s">
        <v>3090</v>
      </c>
      <c r="N14" s="1" t="s">
        <v>1153</v>
      </c>
      <c r="O14" s="2">
        <v>1</v>
      </c>
      <c r="P14" s="2">
        <v>0</v>
      </c>
      <c r="Q14" s="2">
        <v>0</v>
      </c>
      <c r="R14" s="2">
        <v>0</v>
      </c>
      <c r="S14" s="2">
        <v>0</v>
      </c>
      <c r="U14" s="1" t="s">
        <v>1840</v>
      </c>
      <c r="W14" s="1" t="s">
        <v>1156</v>
      </c>
      <c r="X14" s="1" t="s">
        <v>1155</v>
      </c>
      <c r="AB14" s="1" t="s">
        <v>1154</v>
      </c>
      <c r="AC14" s="2">
        <v>0</v>
      </c>
      <c r="AD14" s="2">
        <v>0</v>
      </c>
      <c r="AE14" s="2">
        <v>0</v>
      </c>
      <c r="AF14" s="2">
        <v>0</v>
      </c>
      <c r="AG14" s="2">
        <v>0</v>
      </c>
      <c r="AH14" s="2">
        <v>0</v>
      </c>
      <c r="AI14" s="2">
        <v>0</v>
      </c>
      <c r="AJ14" s="2">
        <v>0</v>
      </c>
      <c r="AK14" s="2">
        <v>1</v>
      </c>
      <c r="AL14" s="1" t="s">
        <v>3176</v>
      </c>
      <c r="AM14" s="1" t="s">
        <v>2348</v>
      </c>
      <c r="BO14" s="1" t="s">
        <v>2727</v>
      </c>
      <c r="BP14" s="2">
        <v>0</v>
      </c>
      <c r="BQ14" s="2">
        <v>0</v>
      </c>
      <c r="BR14" s="2">
        <v>0</v>
      </c>
      <c r="BS14" s="2">
        <v>0</v>
      </c>
      <c r="BT14" s="2">
        <v>1</v>
      </c>
      <c r="BU14" s="2">
        <v>1</v>
      </c>
      <c r="BV14" s="2">
        <v>0</v>
      </c>
      <c r="BW14" s="2">
        <v>0</v>
      </c>
      <c r="BX14" s="2">
        <v>0</v>
      </c>
      <c r="BY14" s="2">
        <v>0</v>
      </c>
      <c r="BZ14" s="2">
        <v>0</v>
      </c>
      <c r="CA14" s="2">
        <v>0</v>
      </c>
      <c r="CB14" s="57" t="s">
        <v>3353</v>
      </c>
      <c r="FB14" s="1" t="s">
        <v>1156</v>
      </c>
      <c r="FC14" s="1" t="s">
        <v>1158</v>
      </c>
      <c r="FD14" s="2">
        <v>0</v>
      </c>
      <c r="FE14" s="2">
        <v>0</v>
      </c>
      <c r="FF14" s="2">
        <v>0</v>
      </c>
      <c r="FG14" s="2">
        <v>0</v>
      </c>
      <c r="FH14" s="2">
        <v>1</v>
      </c>
      <c r="FI14" s="2">
        <v>0</v>
      </c>
      <c r="FJ14" s="2">
        <v>0</v>
      </c>
      <c r="FL14" s="1" t="s">
        <v>2370</v>
      </c>
      <c r="FM14" s="2">
        <v>0</v>
      </c>
      <c r="FN14" s="2">
        <v>0</v>
      </c>
      <c r="FO14" s="2">
        <v>0</v>
      </c>
      <c r="FP14" s="2">
        <v>0</v>
      </c>
      <c r="FQ14" s="2">
        <v>0</v>
      </c>
      <c r="FR14" s="2">
        <v>0</v>
      </c>
      <c r="FS14" s="2">
        <v>1</v>
      </c>
      <c r="FT14" s="2">
        <v>0</v>
      </c>
      <c r="FU14" s="2">
        <v>0</v>
      </c>
      <c r="FV14" s="2">
        <v>0</v>
      </c>
      <c r="FW14" s="2">
        <v>0</v>
      </c>
      <c r="FX14" s="2">
        <v>0</v>
      </c>
      <c r="FY14" s="2">
        <v>0</v>
      </c>
      <c r="GA14" s="1" t="s">
        <v>1156</v>
      </c>
      <c r="GI14" s="1" t="s">
        <v>3177</v>
      </c>
      <c r="GJ14" s="2">
        <v>0</v>
      </c>
      <c r="GK14" s="2">
        <v>0</v>
      </c>
      <c r="GL14" s="2">
        <v>1</v>
      </c>
      <c r="GM14" s="2">
        <v>0</v>
      </c>
      <c r="GN14" s="2">
        <v>0</v>
      </c>
      <c r="GO14" s="2">
        <v>0</v>
      </c>
      <c r="GP14" s="2">
        <v>1</v>
      </c>
      <c r="GQ14" s="2">
        <v>1</v>
      </c>
      <c r="GR14" s="2">
        <v>1</v>
      </c>
      <c r="GS14" s="2">
        <v>0</v>
      </c>
      <c r="GT14" s="2">
        <v>0</v>
      </c>
      <c r="GU14" s="2">
        <v>0</v>
      </c>
      <c r="GV14" s="2">
        <v>0</v>
      </c>
      <c r="AVT14" s="1">
        <v>136624786</v>
      </c>
      <c r="AVU14" s="1" t="s">
        <v>3178</v>
      </c>
      <c r="AVW14" s="1">
        <v>337</v>
      </c>
    </row>
    <row r="15" spans="1:1271" s="1" customFormat="1" ht="14" x14ac:dyDescent="0.3">
      <c r="A15" s="1" t="s">
        <v>3179</v>
      </c>
      <c r="B15" s="1" t="s">
        <v>3180</v>
      </c>
      <c r="C15" s="1" t="s">
        <v>3181</v>
      </c>
      <c r="D15" s="1" t="s">
        <v>1775</v>
      </c>
      <c r="E15" s="2">
        <v>356676102903926</v>
      </c>
      <c r="F15" s="1" t="s">
        <v>1754</v>
      </c>
      <c r="H15" s="2"/>
      <c r="I15" s="1" t="s">
        <v>1659</v>
      </c>
      <c r="J15" s="1" t="s">
        <v>3090</v>
      </c>
      <c r="K15" s="1" t="s">
        <v>3090</v>
      </c>
      <c r="N15" s="1" t="s">
        <v>1153</v>
      </c>
      <c r="O15" s="2">
        <v>1</v>
      </c>
      <c r="P15" s="2">
        <v>0</v>
      </c>
      <c r="Q15" s="2">
        <v>0</v>
      </c>
      <c r="R15" s="2">
        <v>0</v>
      </c>
      <c r="S15" s="2">
        <v>0</v>
      </c>
      <c r="U15" s="1" t="s">
        <v>1840</v>
      </c>
      <c r="W15" s="1" t="s">
        <v>1156</v>
      </c>
      <c r="X15" s="1" t="s">
        <v>1156</v>
      </c>
      <c r="AN15" s="1" t="s">
        <v>1182</v>
      </c>
      <c r="AO15" s="2">
        <v>430</v>
      </c>
      <c r="AP15" s="1" t="s">
        <v>2559</v>
      </c>
      <c r="AR15" s="1" t="s">
        <v>2293</v>
      </c>
      <c r="AS15" s="1" t="s">
        <v>1841</v>
      </c>
      <c r="AT15" s="1" t="s">
        <v>1155</v>
      </c>
      <c r="BO15" s="1" t="s">
        <v>2827</v>
      </c>
      <c r="BP15" s="2">
        <v>0</v>
      </c>
      <c r="BQ15" s="2">
        <v>0</v>
      </c>
      <c r="BR15" s="2">
        <v>0</v>
      </c>
      <c r="BS15" s="2">
        <v>0</v>
      </c>
      <c r="BT15" s="2">
        <v>0</v>
      </c>
      <c r="BU15" s="2">
        <v>1</v>
      </c>
      <c r="BV15" s="2">
        <v>0</v>
      </c>
      <c r="BW15" s="2">
        <v>0</v>
      </c>
      <c r="BX15" s="2">
        <v>0</v>
      </c>
      <c r="BY15" s="2">
        <v>0</v>
      </c>
      <c r="BZ15" s="2">
        <v>0</v>
      </c>
      <c r="CA15" s="2">
        <v>0</v>
      </c>
      <c r="CC15" s="1" t="s">
        <v>1155</v>
      </c>
      <c r="DQ15" s="1" t="s">
        <v>1164</v>
      </c>
      <c r="DR15" s="2">
        <v>0</v>
      </c>
      <c r="DS15" s="2">
        <v>0</v>
      </c>
      <c r="DT15" s="2">
        <v>0</v>
      </c>
      <c r="DU15" s="2">
        <v>0</v>
      </c>
      <c r="DV15" s="2">
        <v>1</v>
      </c>
      <c r="DX15" s="1" t="s">
        <v>3182</v>
      </c>
      <c r="DY15" s="2">
        <v>0</v>
      </c>
      <c r="DZ15" s="2">
        <v>1</v>
      </c>
      <c r="EA15" s="2">
        <v>0</v>
      </c>
      <c r="EB15" s="2">
        <v>0</v>
      </c>
      <c r="EC15" s="2">
        <v>0</v>
      </c>
      <c r="ED15" s="2">
        <v>1</v>
      </c>
      <c r="EE15" s="2">
        <v>0</v>
      </c>
      <c r="EF15" s="2">
        <v>0</v>
      </c>
      <c r="EG15" s="2">
        <v>1</v>
      </c>
      <c r="EH15" s="2">
        <v>0</v>
      </c>
      <c r="EI15" s="2">
        <v>0</v>
      </c>
      <c r="EJ15" s="2">
        <v>0</v>
      </c>
      <c r="EK15" s="2">
        <v>0</v>
      </c>
      <c r="EM15" s="1" t="s">
        <v>1164</v>
      </c>
      <c r="EN15" s="2">
        <v>0</v>
      </c>
      <c r="EO15" s="2">
        <v>0</v>
      </c>
      <c r="EP15" s="2">
        <v>0</v>
      </c>
      <c r="EQ15" s="2">
        <v>0</v>
      </c>
      <c r="ER15" s="2">
        <v>0</v>
      </c>
      <c r="ES15" s="2">
        <v>0</v>
      </c>
      <c r="ET15" s="2">
        <v>0</v>
      </c>
      <c r="EU15" s="2">
        <v>0</v>
      </c>
      <c r="EV15" s="2">
        <v>0</v>
      </c>
      <c r="EW15" s="2">
        <v>1</v>
      </c>
      <c r="EX15" s="2">
        <v>0</v>
      </c>
      <c r="EY15" s="2">
        <v>0</v>
      </c>
      <c r="EZ15" s="2">
        <v>0</v>
      </c>
      <c r="FB15" s="1" t="s">
        <v>1155</v>
      </c>
      <c r="GI15" s="1" t="s">
        <v>3183</v>
      </c>
      <c r="GJ15" s="2">
        <v>1</v>
      </c>
      <c r="GK15" s="2">
        <v>0</v>
      </c>
      <c r="GL15" s="2">
        <v>1</v>
      </c>
      <c r="GM15" s="2">
        <v>0</v>
      </c>
      <c r="GN15" s="2">
        <v>1</v>
      </c>
      <c r="GO15" s="2">
        <v>0</v>
      </c>
      <c r="GP15" s="2">
        <v>1</v>
      </c>
      <c r="GQ15" s="2">
        <v>1</v>
      </c>
      <c r="GR15" s="2">
        <v>0</v>
      </c>
      <c r="GS15" s="2">
        <v>0</v>
      </c>
      <c r="GT15" s="2">
        <v>0</v>
      </c>
      <c r="GU15" s="2">
        <v>0</v>
      </c>
      <c r="GV15" s="2">
        <v>0</v>
      </c>
      <c r="AVT15" s="1">
        <v>136624848</v>
      </c>
      <c r="AVU15" s="1" t="s">
        <v>3184</v>
      </c>
      <c r="AVW15" s="1">
        <v>338</v>
      </c>
    </row>
    <row r="16" spans="1:1271" s="1" customFormat="1" ht="14" x14ac:dyDescent="0.3">
      <c r="A16" s="1" t="s">
        <v>3185</v>
      </c>
      <c r="B16" s="1" t="s">
        <v>3186</v>
      </c>
      <c r="C16" s="1" t="s">
        <v>3187</v>
      </c>
      <c r="D16" s="1" t="s">
        <v>1754</v>
      </c>
      <c r="E16" s="2">
        <v>356676102903926</v>
      </c>
      <c r="F16" s="1" t="s">
        <v>3098</v>
      </c>
      <c r="H16" s="2"/>
      <c r="I16" s="1" t="s">
        <v>1659</v>
      </c>
      <c r="J16" s="1" t="s">
        <v>3090</v>
      </c>
      <c r="K16" s="1" t="s">
        <v>3090</v>
      </c>
      <c r="N16" s="1" t="s">
        <v>1170</v>
      </c>
      <c r="O16" s="2">
        <v>0</v>
      </c>
      <c r="P16" s="2">
        <v>0</v>
      </c>
      <c r="Q16" s="2">
        <v>1</v>
      </c>
      <c r="R16" s="2">
        <v>0</v>
      </c>
      <c r="S16" s="2">
        <v>0</v>
      </c>
      <c r="ZS16" s="1" t="s">
        <v>3188</v>
      </c>
      <c r="ZT16" s="1" t="s">
        <v>1171</v>
      </c>
      <c r="ZV16" s="1" t="s">
        <v>1179</v>
      </c>
      <c r="ZX16" s="1" t="s">
        <v>1156</v>
      </c>
      <c r="ABE16" s="1" t="s">
        <v>1173</v>
      </c>
      <c r="ABF16" s="2">
        <v>1</v>
      </c>
      <c r="ABG16" s="2">
        <v>0</v>
      </c>
      <c r="ABH16" s="2">
        <v>0</v>
      </c>
      <c r="ABI16" s="2">
        <v>0</v>
      </c>
      <c r="ABJ16" s="2">
        <v>0</v>
      </c>
      <c r="ABL16" s="1" t="s">
        <v>1163</v>
      </c>
      <c r="ABM16" s="2">
        <v>0</v>
      </c>
      <c r="ABN16" s="2">
        <v>1</v>
      </c>
      <c r="ABO16" s="2">
        <v>0</v>
      </c>
      <c r="ABP16" s="2">
        <v>0</v>
      </c>
      <c r="ABQ16" s="2">
        <v>0</v>
      </c>
      <c r="ABR16" s="2">
        <v>0</v>
      </c>
      <c r="ABS16" s="2">
        <v>0</v>
      </c>
      <c r="ABT16" s="2">
        <v>0</v>
      </c>
      <c r="ABU16" s="2">
        <v>0</v>
      </c>
      <c r="ABV16" s="2">
        <v>0</v>
      </c>
      <c r="ABW16" s="2">
        <v>0</v>
      </c>
      <c r="ABX16" s="2">
        <v>0</v>
      </c>
      <c r="ABZ16" s="2">
        <v>3</v>
      </c>
      <c r="ACA16" s="1" t="s">
        <v>1155</v>
      </c>
      <c r="ACJ16" s="1" t="s">
        <v>1155</v>
      </c>
      <c r="ACM16" s="1" t="s">
        <v>2157</v>
      </c>
      <c r="ACN16" s="2">
        <v>257</v>
      </c>
      <c r="ACO16" s="2">
        <v>45</v>
      </c>
      <c r="ACP16" s="2">
        <v>212</v>
      </c>
      <c r="ACQ16" s="2">
        <v>212</v>
      </c>
      <c r="ACR16" s="2">
        <v>257</v>
      </c>
      <c r="ACT16" s="2">
        <v>6</v>
      </c>
      <c r="ACU16" s="2">
        <v>20</v>
      </c>
      <c r="ACV16" s="1" t="s">
        <v>1156</v>
      </c>
      <c r="ACW16" s="1" t="s">
        <v>1186</v>
      </c>
      <c r="ACX16" s="1" t="s">
        <v>3189</v>
      </c>
      <c r="ACY16" s="2">
        <v>1</v>
      </c>
      <c r="ACZ16" s="2">
        <v>1</v>
      </c>
      <c r="ADA16" s="2">
        <v>0</v>
      </c>
      <c r="ADB16" s="2">
        <v>0</v>
      </c>
      <c r="ADC16" s="2">
        <v>0</v>
      </c>
      <c r="ADD16" s="2">
        <v>1</v>
      </c>
      <c r="ADE16" s="2">
        <v>1</v>
      </c>
      <c r="ADF16" s="1" t="s">
        <v>3224</v>
      </c>
      <c r="ADQ16" s="2">
        <v>0</v>
      </c>
      <c r="ADR16" s="2">
        <v>0</v>
      </c>
      <c r="ADS16" s="2">
        <v>0</v>
      </c>
      <c r="ADT16" s="2">
        <v>0</v>
      </c>
      <c r="ADU16" s="2">
        <v>0</v>
      </c>
      <c r="ADW16" s="1" t="s">
        <v>1162</v>
      </c>
      <c r="AEO16" s="2">
        <v>0</v>
      </c>
      <c r="AEP16" s="2">
        <v>0</v>
      </c>
      <c r="AEQ16" s="2">
        <v>0</v>
      </c>
      <c r="AER16" s="2">
        <v>0</v>
      </c>
      <c r="AES16" s="2">
        <v>0</v>
      </c>
      <c r="AEU16" s="1" t="s">
        <v>1162</v>
      </c>
      <c r="AFL16" s="2">
        <v>3</v>
      </c>
      <c r="AFM16" s="2">
        <v>0</v>
      </c>
      <c r="AFN16" s="2">
        <v>3</v>
      </c>
      <c r="AFO16" s="2">
        <v>3</v>
      </c>
      <c r="AFP16" s="2">
        <v>3</v>
      </c>
      <c r="AFR16" s="1" t="s">
        <v>1156</v>
      </c>
      <c r="AFS16" s="1" t="s">
        <v>1186</v>
      </c>
      <c r="AFT16" s="1" t="s">
        <v>2853</v>
      </c>
      <c r="AFU16" s="2">
        <v>0</v>
      </c>
      <c r="AFV16" s="2">
        <v>1</v>
      </c>
      <c r="AFW16" s="2">
        <v>0</v>
      </c>
      <c r="AFX16" s="2">
        <v>0</v>
      </c>
      <c r="AFY16" s="2">
        <v>0</v>
      </c>
      <c r="AGH16" s="1" t="s">
        <v>1174</v>
      </c>
      <c r="AGI16" s="1" t="s">
        <v>1156</v>
      </c>
      <c r="AGJ16" s="1" t="s">
        <v>1156</v>
      </c>
      <c r="AGK16" s="2">
        <v>200</v>
      </c>
      <c r="AGL16" s="1" t="s">
        <v>2707</v>
      </c>
      <c r="AGM16" s="2">
        <v>0</v>
      </c>
      <c r="AGN16" s="2">
        <v>1</v>
      </c>
      <c r="AGO16" s="2">
        <v>0</v>
      </c>
      <c r="AGP16" s="2">
        <v>0</v>
      </c>
      <c r="AGQ16" s="2">
        <v>0</v>
      </c>
      <c r="AGR16" s="2">
        <v>0</v>
      </c>
      <c r="AGT16" s="1" t="s">
        <v>1155</v>
      </c>
      <c r="AHQ16" s="1" t="s">
        <v>1164</v>
      </c>
      <c r="AHR16" s="2">
        <v>0</v>
      </c>
      <c r="AHS16" s="2">
        <v>0</v>
      </c>
      <c r="AHT16" s="2">
        <v>0</v>
      </c>
      <c r="AHU16" s="2">
        <v>0</v>
      </c>
      <c r="AHV16" s="2">
        <v>1</v>
      </c>
      <c r="AHX16" s="1" t="s">
        <v>3190</v>
      </c>
      <c r="AHY16" s="2">
        <v>0</v>
      </c>
      <c r="AHZ16" s="2">
        <v>1</v>
      </c>
      <c r="AIA16" s="2">
        <v>1</v>
      </c>
      <c r="AIB16" s="2">
        <v>1</v>
      </c>
      <c r="AIC16" s="2">
        <v>0</v>
      </c>
      <c r="AID16" s="2">
        <v>0</v>
      </c>
      <c r="AIE16" s="2">
        <v>0</v>
      </c>
      <c r="AIF16" s="2">
        <v>0</v>
      </c>
      <c r="AIG16" s="2">
        <v>0</v>
      </c>
      <c r="AIH16" s="2">
        <v>0</v>
      </c>
      <c r="AII16" s="2">
        <v>1</v>
      </c>
      <c r="AIJ16" s="1" t="s">
        <v>3227</v>
      </c>
      <c r="AIK16" s="1" t="s">
        <v>3191</v>
      </c>
      <c r="AIL16" s="2">
        <v>1</v>
      </c>
      <c r="AIM16" s="2">
        <v>1</v>
      </c>
      <c r="AIN16" s="2">
        <v>0</v>
      </c>
      <c r="AIO16" s="2">
        <v>0</v>
      </c>
      <c r="AIP16" s="2">
        <v>0</v>
      </c>
      <c r="AIQ16" s="2">
        <v>0</v>
      </c>
      <c r="AIR16" s="2">
        <v>0</v>
      </c>
      <c r="AIS16" s="2">
        <v>0</v>
      </c>
      <c r="AIT16" s="2">
        <v>0</v>
      </c>
      <c r="AIU16" s="2">
        <v>0</v>
      </c>
      <c r="AIV16" s="2">
        <v>0</v>
      </c>
      <c r="AIW16" s="2">
        <v>0</v>
      </c>
      <c r="AIX16" s="2">
        <v>1</v>
      </c>
      <c r="AIZ16" s="1" t="s">
        <v>1156</v>
      </c>
      <c r="AJA16" s="1" t="s">
        <v>1158</v>
      </c>
      <c r="AJB16" s="2">
        <v>0</v>
      </c>
      <c r="AJC16" s="2">
        <v>0</v>
      </c>
      <c r="AJD16" s="2">
        <v>0</v>
      </c>
      <c r="AJE16" s="2">
        <v>0</v>
      </c>
      <c r="AJF16" s="2">
        <v>1</v>
      </c>
      <c r="AJG16" s="2">
        <v>0</v>
      </c>
      <c r="AJH16" s="2">
        <v>0</v>
      </c>
      <c r="AJJ16" s="1" t="s">
        <v>2856</v>
      </c>
      <c r="AJK16" s="2">
        <v>0</v>
      </c>
      <c r="AJL16" s="2">
        <v>0</v>
      </c>
      <c r="AJM16" s="2">
        <v>0</v>
      </c>
      <c r="AJN16" s="2">
        <v>0</v>
      </c>
      <c r="AJO16" s="2">
        <v>0</v>
      </c>
      <c r="AJP16" s="2">
        <v>0</v>
      </c>
      <c r="AJQ16" s="2">
        <v>0</v>
      </c>
      <c r="AJR16" s="2">
        <v>1</v>
      </c>
      <c r="AJS16" s="2">
        <v>0</v>
      </c>
      <c r="AJT16" s="2">
        <v>0</v>
      </c>
      <c r="AJU16" s="2">
        <v>0</v>
      </c>
      <c r="AJV16" s="2">
        <v>1</v>
      </c>
      <c r="AJW16" s="1" t="s">
        <v>3228</v>
      </c>
      <c r="AJX16" s="1" t="s">
        <v>1155</v>
      </c>
      <c r="AJY16" s="1" t="s">
        <v>3023</v>
      </c>
      <c r="AJZ16" s="2">
        <v>0</v>
      </c>
      <c r="AKA16" s="2">
        <v>0</v>
      </c>
      <c r="AKB16" s="2">
        <v>1</v>
      </c>
      <c r="AKC16" s="2">
        <v>0</v>
      </c>
      <c r="AKD16" s="2">
        <v>0</v>
      </c>
      <c r="AKF16" s="1" t="s">
        <v>3192</v>
      </c>
      <c r="AKG16" s="2">
        <v>0</v>
      </c>
      <c r="AKH16" s="2">
        <v>0</v>
      </c>
      <c r="AKI16" s="2">
        <v>1</v>
      </c>
      <c r="AKJ16" s="2">
        <v>1</v>
      </c>
      <c r="AKK16" s="2">
        <v>0</v>
      </c>
      <c r="AKL16" s="2">
        <v>1</v>
      </c>
      <c r="AKM16" s="2">
        <v>1</v>
      </c>
      <c r="AKN16" s="2">
        <v>0</v>
      </c>
      <c r="AKO16" s="2">
        <v>0</v>
      </c>
      <c r="AKP16" s="2">
        <v>0</v>
      </c>
      <c r="AKQ16" s="2">
        <v>0</v>
      </c>
      <c r="AKR16" s="2">
        <v>0</v>
      </c>
      <c r="AVT16" s="1">
        <v>136624935</v>
      </c>
      <c r="AVU16" s="1" t="s">
        <v>3193</v>
      </c>
      <c r="AVW16" s="1">
        <v>339</v>
      </c>
    </row>
    <row r="17" spans="1:1271" s="1" customFormat="1" ht="14" x14ac:dyDescent="0.3">
      <c r="A17" s="1" t="s">
        <v>3194</v>
      </c>
      <c r="B17" s="1" t="s">
        <v>3195</v>
      </c>
      <c r="C17" s="1" t="s">
        <v>3196</v>
      </c>
      <c r="D17" s="1" t="s">
        <v>1775</v>
      </c>
      <c r="E17" s="2">
        <v>356676101957824</v>
      </c>
      <c r="F17" s="1" t="s">
        <v>1754</v>
      </c>
      <c r="H17" s="2"/>
      <c r="I17" s="1" t="s">
        <v>1659</v>
      </c>
      <c r="J17" s="1" t="s">
        <v>3090</v>
      </c>
      <c r="K17" s="1" t="s">
        <v>3090</v>
      </c>
      <c r="N17" s="1" t="s">
        <v>1153</v>
      </c>
      <c r="O17" s="2">
        <v>1</v>
      </c>
      <c r="P17" s="2">
        <v>0</v>
      </c>
      <c r="Q17" s="2">
        <v>0</v>
      </c>
      <c r="R17" s="2">
        <v>0</v>
      </c>
      <c r="S17" s="2">
        <v>0</v>
      </c>
      <c r="U17" s="1" t="s">
        <v>1840</v>
      </c>
      <c r="W17" s="1" t="s">
        <v>1156</v>
      </c>
      <c r="X17" s="1" t="s">
        <v>1156</v>
      </c>
      <c r="AN17" s="1" t="s">
        <v>1182</v>
      </c>
      <c r="AO17" s="2">
        <v>230</v>
      </c>
      <c r="AP17" s="1" t="s">
        <v>2559</v>
      </c>
      <c r="AR17" s="1" t="s">
        <v>1801</v>
      </c>
      <c r="AS17" s="1" t="s">
        <v>2260</v>
      </c>
      <c r="AT17" s="1" t="s">
        <v>1156</v>
      </c>
      <c r="AU17" s="1" t="s">
        <v>1166</v>
      </c>
      <c r="BF17" s="1" t="s">
        <v>3143</v>
      </c>
      <c r="BG17" s="2">
        <v>0</v>
      </c>
      <c r="BH17" s="2">
        <v>1</v>
      </c>
      <c r="BI17" s="2">
        <v>1</v>
      </c>
      <c r="BJ17" s="2">
        <v>0</v>
      </c>
      <c r="BK17" s="2">
        <v>0</v>
      </c>
      <c r="BL17" s="2">
        <v>0</v>
      </c>
      <c r="BM17" s="2">
        <v>0</v>
      </c>
      <c r="BO17" s="1" t="s">
        <v>2621</v>
      </c>
      <c r="BP17" s="2">
        <v>0</v>
      </c>
      <c r="BQ17" s="2">
        <v>0</v>
      </c>
      <c r="BR17" s="2">
        <v>0</v>
      </c>
      <c r="BS17" s="2">
        <v>0</v>
      </c>
      <c r="BT17" s="2">
        <v>1</v>
      </c>
      <c r="BU17" s="2">
        <v>0</v>
      </c>
      <c r="BV17" s="2">
        <v>0</v>
      </c>
      <c r="BW17" s="2">
        <v>0</v>
      </c>
      <c r="BX17" s="2">
        <v>0</v>
      </c>
      <c r="BY17" s="2">
        <v>0</v>
      </c>
      <c r="BZ17" s="2">
        <v>0</v>
      </c>
      <c r="CA17" s="2">
        <v>0</v>
      </c>
      <c r="CC17" s="1" t="s">
        <v>1155</v>
      </c>
      <c r="DQ17" s="1" t="s">
        <v>1154</v>
      </c>
      <c r="DR17" s="2">
        <v>0</v>
      </c>
      <c r="DS17" s="2">
        <v>0</v>
      </c>
      <c r="DT17" s="2">
        <v>0</v>
      </c>
      <c r="DU17" s="2">
        <v>1</v>
      </c>
      <c r="DV17" s="2">
        <v>0</v>
      </c>
      <c r="DW17" s="1" t="s">
        <v>3197</v>
      </c>
      <c r="DX17" s="1" t="s">
        <v>2948</v>
      </c>
      <c r="DY17" s="2">
        <v>1</v>
      </c>
      <c r="DZ17" s="2">
        <v>1</v>
      </c>
      <c r="EA17" s="2">
        <v>0</v>
      </c>
      <c r="EB17" s="2">
        <v>0</v>
      </c>
      <c r="EC17" s="2">
        <v>0</v>
      </c>
      <c r="ED17" s="2">
        <v>0</v>
      </c>
      <c r="EE17" s="2">
        <v>0</v>
      </c>
      <c r="EF17" s="2">
        <v>0</v>
      </c>
      <c r="EG17" s="2">
        <v>1</v>
      </c>
      <c r="EH17" s="2">
        <v>0</v>
      </c>
      <c r="EI17" s="2">
        <v>0</v>
      </c>
      <c r="EJ17" s="2">
        <v>0</v>
      </c>
      <c r="EK17" s="2">
        <v>1</v>
      </c>
      <c r="EM17" s="1" t="s">
        <v>3198</v>
      </c>
      <c r="EN17" s="2">
        <v>1</v>
      </c>
      <c r="EO17" s="2">
        <v>0</v>
      </c>
      <c r="EP17" s="2">
        <v>0</v>
      </c>
      <c r="EQ17" s="2">
        <v>0</v>
      </c>
      <c r="ER17" s="2">
        <v>1</v>
      </c>
      <c r="ES17" s="2">
        <v>0</v>
      </c>
      <c r="ET17" s="2">
        <v>0</v>
      </c>
      <c r="EU17" s="2">
        <v>0</v>
      </c>
      <c r="EV17" s="2">
        <v>0</v>
      </c>
      <c r="EW17" s="2">
        <v>0</v>
      </c>
      <c r="EX17" s="2">
        <v>0</v>
      </c>
      <c r="EY17" s="2">
        <v>0</v>
      </c>
      <c r="EZ17" s="2">
        <v>0</v>
      </c>
      <c r="FB17" s="1" t="s">
        <v>1155</v>
      </c>
      <c r="GI17" s="1" t="s">
        <v>3199</v>
      </c>
      <c r="GJ17" s="2">
        <v>0</v>
      </c>
      <c r="GK17" s="2">
        <v>1</v>
      </c>
      <c r="GL17" s="2">
        <v>1</v>
      </c>
      <c r="GM17" s="2">
        <v>0</v>
      </c>
      <c r="GN17" s="2">
        <v>1</v>
      </c>
      <c r="GO17" s="2">
        <v>0</v>
      </c>
      <c r="GP17" s="2">
        <v>1</v>
      </c>
      <c r="GQ17" s="2">
        <v>1</v>
      </c>
      <c r="GR17" s="2">
        <v>0</v>
      </c>
      <c r="GS17" s="2">
        <v>0</v>
      </c>
      <c r="GT17" s="2">
        <v>0</v>
      </c>
      <c r="GU17" s="2">
        <v>0</v>
      </c>
      <c r="GV17" s="2">
        <v>0</v>
      </c>
      <c r="AVT17" s="1">
        <v>136639398</v>
      </c>
      <c r="AVU17" s="1" t="s">
        <v>3200</v>
      </c>
      <c r="AVW17" s="1">
        <v>349</v>
      </c>
    </row>
    <row r="18" spans="1:1271" s="1" customFormat="1" ht="14" x14ac:dyDescent="0.3">
      <c r="A18" s="1" t="s">
        <v>3201</v>
      </c>
      <c r="B18" s="1" t="s">
        <v>3202</v>
      </c>
      <c r="C18" s="1" t="s">
        <v>3203</v>
      </c>
      <c r="D18" s="1" t="s">
        <v>1775</v>
      </c>
      <c r="E18" s="2">
        <v>356676101957824</v>
      </c>
      <c r="F18" s="1" t="s">
        <v>1754</v>
      </c>
      <c r="H18" s="2"/>
      <c r="I18" s="1" t="s">
        <v>1659</v>
      </c>
      <c r="J18" s="1" t="s">
        <v>3090</v>
      </c>
      <c r="K18" s="1" t="s">
        <v>3090</v>
      </c>
      <c r="N18" s="1" t="s">
        <v>1170</v>
      </c>
      <c r="O18" s="2">
        <v>0</v>
      </c>
      <c r="P18" s="2">
        <v>0</v>
      </c>
      <c r="Q18" s="2">
        <v>1</v>
      </c>
      <c r="R18" s="2">
        <v>0</v>
      </c>
      <c r="S18" s="2">
        <v>0</v>
      </c>
      <c r="ZS18" s="1" t="s">
        <v>3222</v>
      </c>
      <c r="ZT18" s="1" t="s">
        <v>1171</v>
      </c>
      <c r="ZV18" s="1" t="s">
        <v>1176</v>
      </c>
      <c r="ZX18" s="1" t="s">
        <v>1156</v>
      </c>
      <c r="ABE18" s="1" t="s">
        <v>1173</v>
      </c>
      <c r="ABF18" s="2">
        <v>1</v>
      </c>
      <c r="ABG18" s="2">
        <v>0</v>
      </c>
      <c r="ABH18" s="2">
        <v>0</v>
      </c>
      <c r="ABI18" s="2">
        <v>0</v>
      </c>
      <c r="ABJ18" s="2">
        <v>0</v>
      </c>
      <c r="ABL18" s="1" t="s">
        <v>1158</v>
      </c>
      <c r="ABM18" s="2">
        <v>0</v>
      </c>
      <c r="ABN18" s="2">
        <v>0</v>
      </c>
      <c r="ABO18" s="2">
        <v>0</v>
      </c>
      <c r="ABP18" s="2">
        <v>0</v>
      </c>
      <c r="ABQ18" s="2">
        <v>0</v>
      </c>
      <c r="ABR18" s="2">
        <v>1</v>
      </c>
      <c r="ABS18" s="2">
        <v>0</v>
      </c>
      <c r="ABT18" s="2">
        <v>0</v>
      </c>
      <c r="ABU18" s="2">
        <v>0</v>
      </c>
      <c r="ABV18" s="2">
        <v>0</v>
      </c>
      <c r="ABW18" s="2">
        <v>0</v>
      </c>
      <c r="ABX18" s="2">
        <v>0</v>
      </c>
      <c r="ABZ18" s="2">
        <v>2</v>
      </c>
      <c r="ACA18" s="1" t="s">
        <v>1155</v>
      </c>
      <c r="ACJ18" s="1" t="s">
        <v>1155</v>
      </c>
      <c r="ACM18" s="1" t="s">
        <v>1155</v>
      </c>
      <c r="ACN18" s="2">
        <v>392</v>
      </c>
      <c r="ACO18" s="2">
        <v>106</v>
      </c>
      <c r="ACP18" s="2">
        <v>286</v>
      </c>
      <c r="ACQ18" s="2">
        <v>286</v>
      </c>
      <c r="ACR18" s="2">
        <v>392</v>
      </c>
      <c r="ACT18" s="2">
        <v>6</v>
      </c>
      <c r="ACU18" s="2">
        <v>18</v>
      </c>
      <c r="ACV18" s="1" t="s">
        <v>1156</v>
      </c>
      <c r="ACW18" s="1" t="s">
        <v>1186</v>
      </c>
      <c r="ACX18" s="1" t="s">
        <v>3204</v>
      </c>
      <c r="ACY18" s="2">
        <v>1</v>
      </c>
      <c r="ACZ18" s="2">
        <v>1</v>
      </c>
      <c r="ADA18" s="2">
        <v>0</v>
      </c>
      <c r="ADB18" s="2">
        <v>0</v>
      </c>
      <c r="ADC18" s="2">
        <v>0</v>
      </c>
      <c r="ADD18" s="2">
        <v>0</v>
      </c>
      <c r="ADE18" s="2">
        <v>1</v>
      </c>
      <c r="ADQ18" s="2">
        <v>0</v>
      </c>
      <c r="ADR18" s="2">
        <v>0</v>
      </c>
      <c r="ADS18" s="2">
        <v>0</v>
      </c>
      <c r="ADT18" s="2">
        <v>0</v>
      </c>
      <c r="ADU18" s="2">
        <v>0</v>
      </c>
      <c r="ADW18" s="1" t="s">
        <v>1162</v>
      </c>
      <c r="AEO18" s="2">
        <v>0</v>
      </c>
      <c r="AEP18" s="2">
        <v>0</v>
      </c>
      <c r="AEQ18" s="2">
        <v>0</v>
      </c>
      <c r="AER18" s="2">
        <v>0</v>
      </c>
      <c r="AES18" s="2">
        <v>0</v>
      </c>
      <c r="AEU18" s="1" t="s">
        <v>1162</v>
      </c>
      <c r="AFL18" s="2">
        <v>3</v>
      </c>
      <c r="AFM18" s="2">
        <v>0</v>
      </c>
      <c r="AFN18" s="2">
        <v>3</v>
      </c>
      <c r="AFO18" s="2">
        <v>3</v>
      </c>
      <c r="AFP18" s="2">
        <v>3</v>
      </c>
      <c r="AFR18" s="1" t="s">
        <v>1156</v>
      </c>
      <c r="AFS18" s="1" t="s">
        <v>1166</v>
      </c>
      <c r="AGA18" s="1" t="s">
        <v>1154</v>
      </c>
      <c r="AGB18" s="2">
        <v>0</v>
      </c>
      <c r="AGC18" s="2">
        <v>0</v>
      </c>
      <c r="AGD18" s="2">
        <v>0</v>
      </c>
      <c r="AGE18" s="2">
        <v>0</v>
      </c>
      <c r="AGF18" s="2">
        <v>1</v>
      </c>
      <c r="AGG18" s="1" t="s">
        <v>3226</v>
      </c>
      <c r="AGH18" s="1" t="s">
        <v>1174</v>
      </c>
      <c r="AGI18" s="1" t="s">
        <v>1187</v>
      </c>
      <c r="AGJ18" s="1" t="s">
        <v>1156</v>
      </c>
      <c r="AGK18" s="2">
        <v>250</v>
      </c>
      <c r="AGL18" s="1" t="s">
        <v>1178</v>
      </c>
      <c r="AGM18" s="2">
        <v>1</v>
      </c>
      <c r="AGN18" s="2">
        <v>1</v>
      </c>
      <c r="AGO18" s="2">
        <v>0</v>
      </c>
      <c r="AGP18" s="2">
        <v>0</v>
      </c>
      <c r="AGQ18" s="2">
        <v>0</v>
      </c>
      <c r="AGR18" s="2">
        <v>0</v>
      </c>
      <c r="AGT18" s="1" t="s">
        <v>1155</v>
      </c>
      <c r="AHQ18" s="1" t="s">
        <v>1397</v>
      </c>
      <c r="AHR18" s="2">
        <v>1</v>
      </c>
      <c r="AHS18" s="2">
        <v>0</v>
      </c>
      <c r="AHT18" s="2">
        <v>0</v>
      </c>
      <c r="AHU18" s="2">
        <v>0</v>
      </c>
      <c r="AHV18" s="2">
        <v>0</v>
      </c>
      <c r="AHW18" s="1" t="s">
        <v>3205</v>
      </c>
      <c r="AHX18" s="1" t="s">
        <v>3206</v>
      </c>
      <c r="AHY18" s="2">
        <v>1</v>
      </c>
      <c r="AHZ18" s="2">
        <v>1</v>
      </c>
      <c r="AIA18" s="2">
        <v>1</v>
      </c>
      <c r="AIB18" s="2">
        <v>1</v>
      </c>
      <c r="AIC18" s="2">
        <v>0</v>
      </c>
      <c r="AID18" s="2">
        <v>0</v>
      </c>
      <c r="AIE18" s="2">
        <v>0</v>
      </c>
      <c r="AIF18" s="2">
        <v>0</v>
      </c>
      <c r="AIG18" s="2">
        <v>0</v>
      </c>
      <c r="AIH18" s="2">
        <v>0</v>
      </c>
      <c r="AII18" s="2">
        <v>0</v>
      </c>
      <c r="AIK18" s="1" t="s">
        <v>2457</v>
      </c>
      <c r="AIL18" s="2">
        <v>0</v>
      </c>
      <c r="AIM18" s="2">
        <v>0</v>
      </c>
      <c r="AIN18" s="2">
        <v>0</v>
      </c>
      <c r="AIO18" s="2">
        <v>0</v>
      </c>
      <c r="AIP18" s="2">
        <v>0</v>
      </c>
      <c r="AIQ18" s="2">
        <v>0</v>
      </c>
      <c r="AIR18" s="2">
        <v>0</v>
      </c>
      <c r="AIS18" s="2">
        <v>0</v>
      </c>
      <c r="AIT18" s="2">
        <v>0</v>
      </c>
      <c r="AIU18" s="2">
        <v>0</v>
      </c>
      <c r="AIV18" s="2">
        <v>0</v>
      </c>
      <c r="AIW18" s="2">
        <v>0</v>
      </c>
      <c r="AIX18" s="2">
        <v>1</v>
      </c>
      <c r="AIZ18" s="1" t="s">
        <v>1155</v>
      </c>
      <c r="AKF18" s="1" t="s">
        <v>3207</v>
      </c>
      <c r="AKG18" s="2">
        <v>0</v>
      </c>
      <c r="AKH18" s="2">
        <v>1</v>
      </c>
      <c r="AKI18" s="2">
        <v>1</v>
      </c>
      <c r="AKJ18" s="2">
        <v>1</v>
      </c>
      <c r="AKK18" s="2">
        <v>1</v>
      </c>
      <c r="AKL18" s="2">
        <v>1</v>
      </c>
      <c r="AKM18" s="2">
        <v>1</v>
      </c>
      <c r="AKN18" s="2">
        <v>1</v>
      </c>
      <c r="AKO18" s="2">
        <v>0</v>
      </c>
      <c r="AKP18" s="2">
        <v>0</v>
      </c>
      <c r="AKQ18" s="2">
        <v>0</v>
      </c>
      <c r="AKR18" s="2">
        <v>1</v>
      </c>
      <c r="AKS18" s="1" t="s">
        <v>3229</v>
      </c>
      <c r="AVT18" s="1">
        <v>136639603</v>
      </c>
      <c r="AVU18" s="1" t="s">
        <v>3208</v>
      </c>
      <c r="AVW18" s="1">
        <v>350</v>
      </c>
    </row>
    <row r="19" spans="1:1271" s="1" customFormat="1" ht="14" x14ac:dyDescent="0.3">
      <c r="A19" s="1" t="s">
        <v>3209</v>
      </c>
      <c r="B19" s="1" t="s">
        <v>3210</v>
      </c>
      <c r="C19" s="1" t="s">
        <v>3211</v>
      </c>
      <c r="D19" s="1" t="s">
        <v>3098</v>
      </c>
      <c r="E19" s="2">
        <v>356676101957824</v>
      </c>
      <c r="F19" s="1" t="s">
        <v>3098</v>
      </c>
      <c r="H19" s="2"/>
      <c r="I19" s="1" t="s">
        <v>1659</v>
      </c>
      <c r="J19" s="1" t="s">
        <v>3090</v>
      </c>
      <c r="K19" s="1" t="s">
        <v>3090</v>
      </c>
      <c r="N19" s="1" t="s">
        <v>1160</v>
      </c>
      <c r="O19" s="2">
        <v>0</v>
      </c>
      <c r="P19" s="2">
        <v>0</v>
      </c>
      <c r="Q19" s="2">
        <v>0</v>
      </c>
      <c r="R19" s="2">
        <v>0</v>
      </c>
      <c r="S19" s="2">
        <v>1</v>
      </c>
      <c r="AKT19" s="1" t="s">
        <v>3212</v>
      </c>
      <c r="AKU19" s="1" t="s">
        <v>1156</v>
      </c>
      <c r="ALF19" s="1" t="s">
        <v>1155</v>
      </c>
      <c r="ALG19" s="1" t="s">
        <v>1156</v>
      </c>
      <c r="ALN19" s="1" t="s">
        <v>2124</v>
      </c>
      <c r="ALO19" s="2">
        <v>1</v>
      </c>
      <c r="ALP19" s="2">
        <v>1</v>
      </c>
      <c r="ALQ19" s="2">
        <v>1</v>
      </c>
      <c r="ALR19" s="2">
        <v>0</v>
      </c>
      <c r="ALS19" s="2">
        <v>1</v>
      </c>
      <c r="ALT19" s="2">
        <v>0</v>
      </c>
      <c r="ALU19" s="2">
        <v>0</v>
      </c>
      <c r="ALV19" s="2">
        <v>0</v>
      </c>
      <c r="ALX19" s="1" t="s">
        <v>3213</v>
      </c>
      <c r="ALY19" s="2">
        <v>0</v>
      </c>
      <c r="ALZ19" s="2">
        <v>0</v>
      </c>
      <c r="AMA19" s="2">
        <v>0</v>
      </c>
      <c r="AMB19" s="2">
        <v>0</v>
      </c>
      <c r="AMC19" s="2">
        <v>0</v>
      </c>
      <c r="AMD19" s="2">
        <v>0</v>
      </c>
      <c r="AME19" s="2">
        <v>1</v>
      </c>
      <c r="AMF19" s="1" t="s">
        <v>2125</v>
      </c>
      <c r="AMG19" s="2">
        <v>0</v>
      </c>
      <c r="AMH19" s="2">
        <v>1</v>
      </c>
      <c r="AMI19" s="2">
        <v>0</v>
      </c>
      <c r="AMJ19" s="2">
        <v>0</v>
      </c>
      <c r="AMK19" s="2">
        <v>0</v>
      </c>
      <c r="AMM19" s="1" t="s">
        <v>1155</v>
      </c>
      <c r="AMW19" s="2">
        <v>10</v>
      </c>
      <c r="AMX19" s="1" t="s">
        <v>1156</v>
      </c>
      <c r="AMY19" s="1" t="s">
        <v>1166</v>
      </c>
      <c r="ANK19" s="1" t="s">
        <v>3214</v>
      </c>
      <c r="ANL19" s="2">
        <v>1</v>
      </c>
      <c r="ANM19" s="2">
        <v>0</v>
      </c>
      <c r="ANN19" s="2">
        <v>0</v>
      </c>
      <c r="ANO19" s="2">
        <v>1</v>
      </c>
      <c r="ANP19" s="2">
        <v>1</v>
      </c>
      <c r="ANQ19" s="2">
        <v>1</v>
      </c>
      <c r="ANR19" s="2">
        <v>0</v>
      </c>
      <c r="ANS19" s="2">
        <v>1</v>
      </c>
      <c r="ANT19" s="2">
        <v>0</v>
      </c>
      <c r="ANU19" s="2">
        <v>0</v>
      </c>
      <c r="ANV19" s="2">
        <v>1</v>
      </c>
      <c r="ANX19" s="1" t="s">
        <v>1155</v>
      </c>
      <c r="ANZ19" s="1" t="s">
        <v>2536</v>
      </c>
      <c r="AOA19" s="2">
        <v>1</v>
      </c>
      <c r="AOB19" s="2">
        <v>1</v>
      </c>
      <c r="AOC19" s="2">
        <v>0</v>
      </c>
      <c r="AOD19" s="2">
        <v>0</v>
      </c>
      <c r="AOE19" s="2">
        <v>0</v>
      </c>
      <c r="AOF19" s="2">
        <v>1</v>
      </c>
      <c r="AOG19" s="2">
        <v>0</v>
      </c>
      <c r="AOH19" s="2">
        <v>0</v>
      </c>
      <c r="AOJ19" s="1" t="s">
        <v>1199</v>
      </c>
      <c r="AOL19" s="1" t="s">
        <v>1394</v>
      </c>
      <c r="AOO19" s="1" t="s">
        <v>1396</v>
      </c>
      <c r="AOP19" s="2">
        <v>1</v>
      </c>
      <c r="AOQ19" s="2">
        <v>1</v>
      </c>
      <c r="AOR19" s="2">
        <v>0</v>
      </c>
      <c r="AOS19" s="2">
        <v>0</v>
      </c>
      <c r="AOT19" s="2">
        <v>0</v>
      </c>
      <c r="AOU19" s="2">
        <v>0</v>
      </c>
      <c r="AOV19" s="2">
        <v>0</v>
      </c>
      <c r="AOW19" s="2">
        <v>0</v>
      </c>
      <c r="AOY19" s="1" t="s">
        <v>1199</v>
      </c>
      <c r="APA19" s="1" t="s">
        <v>2128</v>
      </c>
      <c r="APB19" s="1" t="s">
        <v>3215</v>
      </c>
      <c r="APD19" s="2">
        <v>20</v>
      </c>
      <c r="APF19" s="1" t="s">
        <v>1156</v>
      </c>
      <c r="APG19" s="1" t="s">
        <v>1186</v>
      </c>
      <c r="APH19" s="1" t="s">
        <v>2892</v>
      </c>
      <c r="API19" s="2">
        <v>1</v>
      </c>
      <c r="APJ19" s="2">
        <v>0</v>
      </c>
      <c r="APK19" s="2">
        <v>0</v>
      </c>
      <c r="APL19" s="2">
        <v>0</v>
      </c>
      <c r="APM19" s="2">
        <v>0</v>
      </c>
      <c r="APN19" s="2">
        <v>0</v>
      </c>
      <c r="APO19" s="2">
        <v>0</v>
      </c>
      <c r="APZ19" s="1" t="s">
        <v>2248</v>
      </c>
      <c r="AQA19" s="2">
        <v>1</v>
      </c>
      <c r="AQB19" s="2">
        <v>0</v>
      </c>
      <c r="AQC19" s="2">
        <v>0</v>
      </c>
      <c r="AQD19" s="2">
        <v>0</v>
      </c>
      <c r="AQE19" s="2">
        <v>0</v>
      </c>
      <c r="AQF19" s="2">
        <v>0</v>
      </c>
      <c r="AQG19" s="1" t="s">
        <v>2249</v>
      </c>
      <c r="AQI19" s="90"/>
      <c r="AQJ19" s="1" t="s">
        <v>1532</v>
      </c>
      <c r="ARG19" s="1" t="s">
        <v>1163</v>
      </c>
      <c r="ARH19" s="2">
        <v>0</v>
      </c>
      <c r="ARI19" s="2">
        <v>1</v>
      </c>
      <c r="ARJ19" s="2">
        <v>0</v>
      </c>
      <c r="ARK19" s="2">
        <v>0</v>
      </c>
      <c r="ARL19" s="2">
        <v>0</v>
      </c>
      <c r="ARM19" s="2">
        <v>0</v>
      </c>
      <c r="ARN19" s="2">
        <v>0</v>
      </c>
      <c r="ARO19" s="2">
        <v>0</v>
      </c>
      <c r="ARP19" s="2">
        <v>0</v>
      </c>
      <c r="ARQ19" s="2">
        <v>0</v>
      </c>
      <c r="ARR19" s="2">
        <v>0</v>
      </c>
      <c r="ARS19" s="2">
        <v>0</v>
      </c>
      <c r="ARU19" s="1" t="s">
        <v>1163</v>
      </c>
      <c r="ARV19" s="2">
        <v>1</v>
      </c>
      <c r="ARW19" s="2">
        <v>0</v>
      </c>
      <c r="ARX19" s="2">
        <v>0</v>
      </c>
      <c r="ARY19" s="2">
        <v>0</v>
      </c>
      <c r="ARZ19" s="2">
        <v>0</v>
      </c>
      <c r="ASA19" s="2">
        <v>0</v>
      </c>
      <c r="ASB19" s="2">
        <v>0</v>
      </c>
      <c r="ASD19" s="1" t="s">
        <v>1155</v>
      </c>
      <c r="ASN19" s="1" t="s">
        <v>1164</v>
      </c>
      <c r="ASO19" s="2">
        <v>0</v>
      </c>
      <c r="ASP19" s="2">
        <v>0</v>
      </c>
      <c r="ASQ19" s="2">
        <v>0</v>
      </c>
      <c r="ASR19" s="2">
        <v>0</v>
      </c>
      <c r="ASS19" s="2">
        <v>1</v>
      </c>
      <c r="ASU19" s="1" t="s">
        <v>3216</v>
      </c>
      <c r="ASV19" s="2">
        <v>1</v>
      </c>
      <c r="ASW19" s="2">
        <v>0</v>
      </c>
      <c r="ASX19" s="2">
        <v>0</v>
      </c>
      <c r="ASY19" s="2">
        <v>0</v>
      </c>
      <c r="ASZ19" s="2">
        <v>0</v>
      </c>
      <c r="ATA19" s="2">
        <v>1</v>
      </c>
      <c r="ATB19" s="2">
        <v>1</v>
      </c>
      <c r="ATC19" s="2">
        <v>1</v>
      </c>
      <c r="ATD19" s="2">
        <v>0</v>
      </c>
      <c r="ATE19" s="2">
        <v>0</v>
      </c>
      <c r="ATF19" s="2">
        <v>0</v>
      </c>
      <c r="ATG19" s="2">
        <v>0</v>
      </c>
      <c r="ATH19" s="2">
        <v>0</v>
      </c>
      <c r="ATJ19" s="1" t="s">
        <v>3217</v>
      </c>
      <c r="ATK19" s="2">
        <v>0</v>
      </c>
      <c r="ATL19" s="2">
        <v>1</v>
      </c>
      <c r="ATM19" s="2">
        <v>1</v>
      </c>
      <c r="ATN19" s="2">
        <v>1</v>
      </c>
      <c r="ATO19" s="2">
        <v>1</v>
      </c>
      <c r="ATP19" s="2">
        <v>0</v>
      </c>
      <c r="ATQ19" s="2">
        <v>0</v>
      </c>
      <c r="ATR19" s="2">
        <v>0</v>
      </c>
      <c r="ATS19" s="2">
        <v>1</v>
      </c>
      <c r="ATT19" s="2">
        <v>0</v>
      </c>
      <c r="ATU19" s="2">
        <v>1</v>
      </c>
      <c r="ATV19" s="2">
        <v>1</v>
      </c>
      <c r="ATW19" s="2">
        <v>0</v>
      </c>
      <c r="ATX19" s="2">
        <v>1</v>
      </c>
      <c r="ATY19" s="2">
        <v>0</v>
      </c>
      <c r="ATZ19" s="2">
        <v>0</v>
      </c>
      <c r="AUA19" s="2">
        <v>0</v>
      </c>
      <c r="AUC19" s="1" t="s">
        <v>1155</v>
      </c>
      <c r="AVG19" s="1" t="s">
        <v>3218</v>
      </c>
      <c r="AVH19" s="2">
        <v>1</v>
      </c>
      <c r="AVI19" s="2">
        <v>0</v>
      </c>
      <c r="AVJ19" s="2">
        <v>0</v>
      </c>
      <c r="AVK19" s="2">
        <v>1</v>
      </c>
      <c r="AVL19" s="2">
        <v>1</v>
      </c>
      <c r="AVM19" s="2">
        <v>0</v>
      </c>
      <c r="AVN19" s="2">
        <v>1</v>
      </c>
      <c r="AVO19" s="2">
        <v>0</v>
      </c>
      <c r="AVP19" s="2">
        <v>0</v>
      </c>
      <c r="AVT19" s="1">
        <v>136639724</v>
      </c>
      <c r="AVU19" s="1" t="s">
        <v>3219</v>
      </c>
      <c r="AVW19" s="1">
        <v>351</v>
      </c>
    </row>
  </sheetData>
  <autoFilter ref="A1:AXZ19"/>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S223"/>
  <sheetViews>
    <sheetView zoomScale="90" zoomScaleNormal="90" workbookViewId="0">
      <selection activeCell="K136" sqref="K136"/>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10"/>
    <col min="27" max="16384" width="8.81640625" style="1"/>
  </cols>
  <sheetData>
    <row r="1" spans="1:26" s="10" customFormat="1" x14ac:dyDescent="0.3"/>
    <row r="2" spans="1:26" ht="15.5" x14ac:dyDescent="0.35">
      <c r="A2" s="9" t="s">
        <v>1294</v>
      </c>
      <c r="B2" s="10"/>
      <c r="C2" s="10"/>
      <c r="D2" s="10"/>
      <c r="E2" s="10"/>
      <c r="F2" s="10"/>
      <c r="G2" s="10"/>
      <c r="H2" s="10"/>
      <c r="I2" s="10"/>
      <c r="J2" s="10"/>
      <c r="K2" s="10"/>
      <c r="L2" s="10"/>
      <c r="M2" s="10"/>
      <c r="N2" s="10"/>
      <c r="O2" s="10"/>
      <c r="P2" s="10"/>
      <c r="Q2" s="10"/>
      <c r="R2" s="10"/>
    </row>
    <row r="3" spans="1:26" ht="15.5" x14ac:dyDescent="0.35">
      <c r="A3" s="29" t="s">
        <v>1409</v>
      </c>
      <c r="B3" s="21">
        <f>COUNTIFS('ZANGBA_Cleaned Data'!N:N,"eau",'ZANGBA_Cleaned Data'!K:K,"ZANGBA")</f>
        <v>9</v>
      </c>
      <c r="C3" s="10"/>
      <c r="D3" s="10"/>
      <c r="E3" s="10"/>
      <c r="F3" s="10"/>
      <c r="G3" s="10"/>
      <c r="H3" s="10"/>
      <c r="I3" s="10"/>
      <c r="J3" s="10"/>
      <c r="K3" s="10"/>
      <c r="L3" s="10"/>
      <c r="M3" s="10"/>
      <c r="N3" s="10"/>
      <c r="O3" s="10"/>
      <c r="P3" s="10"/>
      <c r="Q3" s="10"/>
      <c r="R3" s="10"/>
    </row>
    <row r="4" spans="1:26" ht="15.5" x14ac:dyDescent="0.35">
      <c r="A4" s="9"/>
      <c r="B4" s="10"/>
      <c r="C4" s="10"/>
      <c r="D4" s="10"/>
      <c r="E4" s="10"/>
      <c r="F4" s="10"/>
      <c r="G4" s="10"/>
      <c r="H4" s="10"/>
      <c r="I4" s="10"/>
      <c r="J4" s="10"/>
      <c r="K4" s="10"/>
      <c r="L4" s="10"/>
      <c r="M4" s="10"/>
      <c r="N4" s="10"/>
      <c r="O4" s="10"/>
      <c r="P4" s="10"/>
      <c r="Q4" s="10"/>
      <c r="R4" s="10"/>
    </row>
    <row r="5" spans="1:26" x14ac:dyDescent="0.3">
      <c r="A5" s="10"/>
      <c r="B5" s="10"/>
      <c r="C5" s="10"/>
      <c r="D5" s="10"/>
      <c r="E5" s="10"/>
      <c r="F5" s="10"/>
      <c r="G5" s="10"/>
      <c r="H5" s="10"/>
      <c r="I5" s="10"/>
      <c r="J5" s="10"/>
      <c r="K5" s="10"/>
      <c r="L5" s="10"/>
      <c r="M5" s="10"/>
      <c r="N5" s="10"/>
      <c r="O5" s="10"/>
      <c r="P5" s="10"/>
      <c r="Q5" s="10"/>
      <c r="R5" s="10"/>
    </row>
    <row r="6" spans="1:26" ht="31.5" customHeight="1" x14ac:dyDescent="0.3">
      <c r="A6" s="3"/>
      <c r="B6" s="8" t="s">
        <v>1201</v>
      </c>
      <c r="C6" s="8" t="s">
        <v>1856</v>
      </c>
      <c r="D6" s="8" t="s">
        <v>1202</v>
      </c>
      <c r="E6" s="8" t="s">
        <v>1403</v>
      </c>
      <c r="F6" s="8" t="s">
        <v>1203</v>
      </c>
      <c r="G6" s="8" t="s">
        <v>1204</v>
      </c>
      <c r="H6" s="8" t="s">
        <v>3244</v>
      </c>
      <c r="I6" s="51" t="s">
        <v>3249</v>
      </c>
      <c r="J6" s="10"/>
      <c r="K6" s="10"/>
      <c r="L6" s="10"/>
      <c r="M6" s="10"/>
      <c r="N6" s="10"/>
      <c r="O6" s="10"/>
      <c r="P6" s="10"/>
      <c r="Q6" s="10"/>
      <c r="R6" s="10"/>
      <c r="Z6" s="1"/>
    </row>
    <row r="7" spans="1:26" x14ac:dyDescent="0.3">
      <c r="A7" s="3" t="s">
        <v>1207</v>
      </c>
      <c r="B7" s="24">
        <f>COUNTIF('ZANGBA_Cleaned Data'!U:U,"pompe_pied")</f>
        <v>0</v>
      </c>
      <c r="C7" s="24">
        <f>COUNTIF('ZANGBA_Cleaned Data'!U:U,"pompe_main")</f>
        <v>6</v>
      </c>
      <c r="D7" s="24">
        <f>COUNTIF('ZANGBA_Cleaned Data'!U:U,"source_amenagee")</f>
        <v>0</v>
      </c>
      <c r="E7" s="24">
        <f>COUNTIF('ZANGBA_Cleaned Data'!U:U,"source_non_amenagee")</f>
        <v>1</v>
      </c>
      <c r="F7" s="24">
        <f>COUNTIF('ZANGBA_Cleaned Data'!U:U,"puits_protege")</f>
        <v>0</v>
      </c>
      <c r="G7" s="24">
        <f>COUNTIF('ZANGBA_Cleaned Data'!U:U,"puits_non_protege")</f>
        <v>2</v>
      </c>
      <c r="H7" s="24">
        <f>COUNTIF('ZANGBA_Cleaned Data'!U:U,"camion")</f>
        <v>0</v>
      </c>
      <c r="I7" s="109">
        <f>SUM(B7:H7)</f>
        <v>9</v>
      </c>
      <c r="J7" s="10"/>
      <c r="K7" s="10"/>
      <c r="L7" s="10"/>
      <c r="M7" s="10"/>
      <c r="N7" s="10"/>
      <c r="O7" s="10"/>
      <c r="P7" s="10"/>
      <c r="Q7" s="10"/>
      <c r="R7" s="10"/>
      <c r="Z7" s="1"/>
    </row>
    <row r="8" spans="1:26" s="106" customFormat="1" ht="26" x14ac:dyDescent="0.3">
      <c r="A8" s="101" t="s">
        <v>3246</v>
      </c>
      <c r="B8" s="104">
        <f>(B7/$B$3)</f>
        <v>0</v>
      </c>
      <c r="C8" s="104">
        <f t="shared" ref="C8:H8" si="0">(C7/$B$3)</f>
        <v>0.66666666666666663</v>
      </c>
      <c r="D8" s="104">
        <f t="shared" si="0"/>
        <v>0</v>
      </c>
      <c r="E8" s="104">
        <f t="shared" si="0"/>
        <v>0.1111111111111111</v>
      </c>
      <c r="F8" s="104">
        <f t="shared" si="0"/>
        <v>0</v>
      </c>
      <c r="G8" s="104">
        <f t="shared" si="0"/>
        <v>0.22222222222222221</v>
      </c>
      <c r="H8" s="104">
        <f t="shared" si="0"/>
        <v>0</v>
      </c>
      <c r="I8" s="102">
        <f>SUM(B8:H8)</f>
        <v>0.99999999999999989</v>
      </c>
      <c r="J8" s="105"/>
      <c r="K8" s="105"/>
      <c r="L8" s="105"/>
      <c r="M8" s="105"/>
      <c r="N8" s="105"/>
      <c r="O8" s="105"/>
      <c r="P8" s="105"/>
      <c r="Q8" s="105"/>
      <c r="R8" s="105"/>
      <c r="S8" s="105"/>
      <c r="T8" s="105"/>
      <c r="U8" s="105"/>
      <c r="V8" s="105"/>
      <c r="W8" s="105"/>
      <c r="X8" s="105"/>
      <c r="Y8" s="105"/>
    </row>
    <row r="9" spans="1:26" x14ac:dyDescent="0.3">
      <c r="A9" s="14"/>
      <c r="B9" s="16"/>
      <c r="C9" s="16"/>
      <c r="D9" s="16"/>
      <c r="E9" s="16"/>
      <c r="F9" s="16"/>
      <c r="G9" s="14"/>
      <c r="H9" s="10"/>
      <c r="I9" s="10"/>
      <c r="J9" s="10"/>
      <c r="K9" s="10"/>
      <c r="L9" s="10"/>
      <c r="M9" s="10"/>
      <c r="N9" s="10"/>
      <c r="O9" s="10"/>
      <c r="P9" s="10"/>
      <c r="Q9" s="10"/>
      <c r="R9" s="10"/>
    </row>
    <row r="10" spans="1:26" ht="15.5" x14ac:dyDescent="0.35">
      <c r="A10" s="9" t="s">
        <v>1285</v>
      </c>
      <c r="B10" s="16"/>
      <c r="C10" s="16"/>
      <c r="D10" s="16"/>
      <c r="E10" s="16"/>
      <c r="F10" s="16"/>
      <c r="G10" s="14"/>
      <c r="H10" s="10"/>
      <c r="I10" s="10"/>
      <c r="J10" s="10"/>
      <c r="K10" s="10"/>
      <c r="L10" s="10"/>
      <c r="M10" s="10"/>
      <c r="N10" s="10"/>
      <c r="O10" s="10"/>
      <c r="P10" s="10"/>
      <c r="Q10" s="10"/>
      <c r="R10" s="10"/>
    </row>
    <row r="11" spans="1:26" ht="15.5" x14ac:dyDescent="0.35">
      <c r="A11" s="29" t="s">
        <v>1305</v>
      </c>
      <c r="B11" s="10"/>
      <c r="C11" s="10"/>
      <c r="D11" s="10"/>
      <c r="E11" s="10"/>
      <c r="F11" s="10"/>
      <c r="G11" s="10"/>
      <c r="H11" s="10"/>
      <c r="I11" s="10"/>
      <c r="J11" s="10"/>
      <c r="K11" s="10"/>
      <c r="L11" s="10"/>
      <c r="M11" s="10"/>
      <c r="N11" s="10"/>
      <c r="O11" s="10"/>
      <c r="P11" s="10"/>
      <c r="Q11" s="10"/>
      <c r="R11" s="10"/>
    </row>
    <row r="12" spans="1:26" ht="42" x14ac:dyDescent="0.3">
      <c r="A12" s="3"/>
      <c r="B12" s="8" t="s">
        <v>1210</v>
      </c>
      <c r="C12" s="8" t="s">
        <v>1209</v>
      </c>
      <c r="D12" s="8" t="s">
        <v>1858</v>
      </c>
      <c r="E12" s="51" t="s">
        <v>1882</v>
      </c>
      <c r="F12" s="10"/>
      <c r="G12" s="10"/>
      <c r="H12" s="10"/>
      <c r="I12" s="10"/>
      <c r="J12" s="10"/>
      <c r="K12" s="10"/>
      <c r="L12" s="10"/>
      <c r="M12" s="10"/>
      <c r="N12" s="10"/>
      <c r="O12" s="10"/>
      <c r="P12" s="10"/>
      <c r="Q12" s="10"/>
      <c r="R12" s="10"/>
    </row>
    <row r="13" spans="1:26" x14ac:dyDescent="0.3">
      <c r="A13" s="3" t="s">
        <v>1207</v>
      </c>
      <c r="B13" s="24">
        <f>COUNTIF('ZANGBA_Cleaned Data'!X:X,"oui")</f>
        <v>6</v>
      </c>
      <c r="C13" s="24">
        <f>COUNTIF('ZANGBA_Cleaned Data'!X:X,"non")</f>
        <v>1</v>
      </c>
      <c r="D13" s="24">
        <f>COUNTIF('ZANGBA_Cleaned Data'!X:X,"endommage")</f>
        <v>2</v>
      </c>
      <c r="E13" s="52">
        <f>SUM(B13,D13)</f>
        <v>8</v>
      </c>
      <c r="F13" s="10"/>
      <c r="G13" s="10"/>
      <c r="H13" s="10"/>
      <c r="I13" s="10"/>
      <c r="J13" s="10"/>
      <c r="K13" s="10"/>
      <c r="L13" s="10"/>
      <c r="M13" s="10"/>
      <c r="N13" s="10"/>
      <c r="O13" s="10"/>
      <c r="P13" s="10"/>
      <c r="Q13" s="10"/>
      <c r="R13" s="10"/>
    </row>
    <row r="14" spans="1:26" s="106" customFormat="1" ht="26" x14ac:dyDescent="0.3">
      <c r="A14" s="101" t="s">
        <v>3246</v>
      </c>
      <c r="B14" s="104">
        <f>(B13/$B$3)</f>
        <v>0.66666666666666663</v>
      </c>
      <c r="C14" s="104">
        <f t="shared" ref="C14:D14" si="1">(C13/$B$3)</f>
        <v>0.1111111111111111</v>
      </c>
      <c r="D14" s="104">
        <f t="shared" si="1"/>
        <v>0.22222222222222221</v>
      </c>
      <c r="E14" s="102">
        <f>E13/$B$3</f>
        <v>0.88888888888888884</v>
      </c>
      <c r="F14" s="105"/>
      <c r="G14" s="105"/>
      <c r="H14" s="105"/>
      <c r="I14" s="105"/>
      <c r="J14" s="105"/>
      <c r="K14" s="105"/>
      <c r="L14" s="105"/>
      <c r="M14" s="105"/>
      <c r="N14" s="105"/>
      <c r="O14" s="105"/>
      <c r="P14" s="105"/>
      <c r="Q14" s="105"/>
      <c r="R14" s="105"/>
      <c r="S14" s="105"/>
      <c r="T14" s="105"/>
      <c r="U14" s="105"/>
      <c r="V14" s="105"/>
      <c r="W14" s="105"/>
      <c r="X14" s="105"/>
      <c r="Y14" s="105"/>
      <c r="Z14" s="105"/>
    </row>
    <row r="15" spans="1:26" s="10" customFormat="1" x14ac:dyDescent="0.3">
      <c r="A15" s="14"/>
      <c r="B15" s="15"/>
      <c r="C15" s="15"/>
      <c r="D15" s="15"/>
      <c r="E15" s="15"/>
    </row>
    <row r="16" spans="1:26" x14ac:dyDescent="0.3">
      <c r="A16" s="14"/>
      <c r="B16" s="16"/>
      <c r="C16" s="17" t="s">
        <v>1859</v>
      </c>
      <c r="D16" s="14"/>
      <c r="E16" s="10"/>
      <c r="F16" s="10"/>
      <c r="G16" s="10"/>
      <c r="H16" s="10"/>
      <c r="I16" s="10"/>
      <c r="J16" s="10"/>
      <c r="K16" s="10"/>
      <c r="L16" s="10"/>
      <c r="M16" s="10"/>
      <c r="N16" s="10"/>
      <c r="O16" s="10"/>
      <c r="P16" s="10"/>
      <c r="Q16" s="10"/>
      <c r="R16" s="10"/>
    </row>
    <row r="17" spans="1:26" ht="42" x14ac:dyDescent="0.3">
      <c r="A17" s="10"/>
      <c r="B17" s="10"/>
      <c r="C17" s="3"/>
      <c r="D17" s="6" t="s">
        <v>1213</v>
      </c>
      <c r="E17" s="6" t="s">
        <v>1211</v>
      </c>
      <c r="F17" s="6" t="s">
        <v>1212</v>
      </c>
      <c r="G17" s="110" t="s">
        <v>1206</v>
      </c>
      <c r="H17" s="10"/>
      <c r="I17" s="10"/>
      <c r="J17" s="10"/>
      <c r="K17" s="10"/>
      <c r="L17" s="10"/>
      <c r="M17" s="10"/>
      <c r="N17" s="10"/>
      <c r="O17" s="10"/>
      <c r="P17" s="10"/>
      <c r="Q17" s="10"/>
      <c r="R17" s="10"/>
    </row>
    <row r="18" spans="1:26" x14ac:dyDescent="0.3">
      <c r="A18" s="10"/>
      <c r="B18" s="10"/>
      <c r="C18" s="3" t="s">
        <v>1207</v>
      </c>
      <c r="D18" s="24">
        <f>COUNTIF('ZANGBA_Cleaned Data'!Y:Y,"non_maintenance")</f>
        <v>0</v>
      </c>
      <c r="E18" s="24">
        <f>COUNTIF('ZANGBA_Cleaned Data'!Y:Y,"non_rehab")</f>
        <v>1</v>
      </c>
      <c r="F18" s="24">
        <f>COUNTIF('ZANGBA_Cleaned Data'!Y:Y,"non_destruction")</f>
        <v>1</v>
      </c>
      <c r="G18" s="111">
        <f>SUM(D18:F18)</f>
        <v>2</v>
      </c>
      <c r="H18" s="10"/>
      <c r="I18" s="10"/>
      <c r="J18" s="10"/>
      <c r="K18" s="10"/>
      <c r="L18" s="10"/>
      <c r="M18" s="10"/>
      <c r="N18" s="10"/>
      <c r="O18" s="10"/>
      <c r="P18" s="10"/>
      <c r="Q18" s="10"/>
      <c r="R18" s="10"/>
    </row>
    <row r="19" spans="1:26" s="106" customFormat="1" ht="37.5" x14ac:dyDescent="0.3">
      <c r="A19" s="105"/>
      <c r="B19" s="105"/>
      <c r="C19" s="101" t="s">
        <v>3247</v>
      </c>
      <c r="D19" s="104">
        <f>D18/$D$13</f>
        <v>0</v>
      </c>
      <c r="E19" s="104">
        <f>E18/$D$13</f>
        <v>0.5</v>
      </c>
      <c r="F19" s="104">
        <f>F18/$D$13</f>
        <v>0.5</v>
      </c>
      <c r="G19" s="100">
        <f>SUM(D19:F19)</f>
        <v>1</v>
      </c>
      <c r="H19" s="105"/>
      <c r="I19" s="105"/>
      <c r="J19" s="105"/>
      <c r="K19" s="105"/>
      <c r="L19" s="105"/>
      <c r="M19" s="105"/>
      <c r="N19" s="105"/>
      <c r="O19" s="105"/>
      <c r="P19" s="105"/>
      <c r="Q19" s="105"/>
      <c r="R19" s="105"/>
      <c r="S19" s="105"/>
      <c r="T19" s="105"/>
      <c r="U19" s="105"/>
      <c r="V19" s="105"/>
      <c r="W19" s="105"/>
      <c r="X19" s="105"/>
      <c r="Y19" s="105"/>
      <c r="Z19" s="105"/>
    </row>
    <row r="20" spans="1:26" x14ac:dyDescent="0.3">
      <c r="A20" s="10"/>
      <c r="B20" s="10"/>
      <c r="C20" s="10"/>
      <c r="D20" s="10"/>
      <c r="E20" s="10"/>
      <c r="F20" s="10"/>
      <c r="G20" s="10"/>
      <c r="H20" s="10"/>
      <c r="I20" s="10"/>
      <c r="J20" s="10"/>
      <c r="K20" s="10"/>
      <c r="L20" s="10"/>
      <c r="M20" s="10"/>
      <c r="N20" s="10"/>
      <c r="O20" s="10"/>
      <c r="P20" s="10"/>
      <c r="Q20" s="10"/>
      <c r="R20" s="10"/>
    </row>
    <row r="21" spans="1:26" x14ac:dyDescent="0.3">
      <c r="A21" s="10"/>
      <c r="B21" s="10"/>
      <c r="C21" s="17" t="s">
        <v>1860</v>
      </c>
      <c r="D21" s="14"/>
      <c r="E21" s="10"/>
      <c r="F21" s="10"/>
      <c r="G21" s="10"/>
      <c r="H21" s="10"/>
      <c r="I21" s="10"/>
      <c r="J21" s="10"/>
      <c r="K21" s="10"/>
      <c r="L21" s="10"/>
      <c r="M21" s="10"/>
      <c r="N21" s="10"/>
      <c r="O21" s="10"/>
      <c r="P21" s="10"/>
      <c r="Q21" s="10"/>
      <c r="R21" s="10"/>
    </row>
    <row r="22" spans="1:26" ht="28" x14ac:dyDescent="0.3">
      <c r="A22" s="10"/>
      <c r="B22" s="10"/>
      <c r="C22" s="3"/>
      <c r="D22" s="6" t="s">
        <v>1861</v>
      </c>
      <c r="E22" s="6" t="s">
        <v>1862</v>
      </c>
      <c r="F22" s="6" t="s">
        <v>1863</v>
      </c>
      <c r="G22" s="6" t="s">
        <v>1864</v>
      </c>
      <c r="H22" s="6" t="s">
        <v>1905</v>
      </c>
      <c r="I22" s="110" t="s">
        <v>1206</v>
      </c>
      <c r="J22" s="10"/>
      <c r="K22" s="10"/>
      <c r="L22" s="10"/>
      <c r="M22" s="10"/>
      <c r="N22" s="10"/>
      <c r="O22" s="10"/>
      <c r="P22" s="10"/>
      <c r="Q22" s="10"/>
      <c r="R22" s="10"/>
    </row>
    <row r="23" spans="1:26" x14ac:dyDescent="0.3">
      <c r="A23" s="10"/>
      <c r="B23" s="10"/>
      <c r="C23" s="3" t="s">
        <v>1207</v>
      </c>
      <c r="D23" s="24">
        <f>COUNTIF('ZANGBA_Cleaned Data'!AA:AA,"moins_six_mois")</f>
        <v>0</v>
      </c>
      <c r="E23" s="24">
        <f>COUNTIF('ZANGBA_Cleaned Data'!AA:AA,"six_mois_un_an")</f>
        <v>0</v>
      </c>
      <c r="F23" s="24">
        <f>COUNTIF('ZANGBA_Cleaned Data'!AA:AA,"un_an_trois_ans")</f>
        <v>1</v>
      </c>
      <c r="G23" s="24">
        <f>COUNTIF('ZANGBA_Cleaned Data'!AA:AA,"plus_trois_ans")</f>
        <v>1</v>
      </c>
      <c r="H23" s="24">
        <f>COUNTIF('ZANGBA_Cleaned Data'!AA:AA,"nsp")</f>
        <v>0</v>
      </c>
      <c r="I23" s="111">
        <f>SUM(D23:H23)</f>
        <v>2</v>
      </c>
      <c r="J23" s="10"/>
      <c r="K23" s="10"/>
      <c r="L23" s="10"/>
      <c r="M23" s="10"/>
      <c r="N23" s="10"/>
      <c r="O23" s="10"/>
      <c r="P23" s="10"/>
      <c r="Q23" s="10"/>
      <c r="R23" s="10"/>
    </row>
    <row r="24" spans="1:26" s="106" customFormat="1" ht="36.5" customHeight="1" x14ac:dyDescent="0.3">
      <c r="A24" s="105"/>
      <c r="B24" s="105"/>
      <c r="C24" s="101" t="s">
        <v>3247</v>
      </c>
      <c r="D24" s="104">
        <f>D23/$D$13</f>
        <v>0</v>
      </c>
      <c r="E24" s="104">
        <f>E23/$D$13</f>
        <v>0</v>
      </c>
      <c r="F24" s="104">
        <f>F23/$D$13</f>
        <v>0.5</v>
      </c>
      <c r="G24" s="104">
        <f t="shared" ref="G24:H24" si="2">G23/$D$13</f>
        <v>0.5</v>
      </c>
      <c r="H24" s="104">
        <f t="shared" si="2"/>
        <v>0</v>
      </c>
      <c r="I24" s="100">
        <f>SUM(D24:H24)</f>
        <v>1</v>
      </c>
      <c r="J24" s="105"/>
      <c r="K24" s="105"/>
      <c r="L24" s="105"/>
      <c r="M24" s="105"/>
      <c r="N24" s="105"/>
      <c r="O24" s="105"/>
      <c r="P24" s="105"/>
      <c r="Q24" s="105"/>
      <c r="R24" s="105"/>
      <c r="S24" s="105"/>
      <c r="T24" s="105"/>
      <c r="U24" s="105"/>
      <c r="V24" s="105"/>
      <c r="W24" s="105"/>
      <c r="X24" s="105"/>
      <c r="Y24" s="105"/>
      <c r="Z24" s="105"/>
    </row>
    <row r="25" spans="1:26" s="10" customFormat="1" x14ac:dyDescent="0.3">
      <c r="D25" s="49"/>
      <c r="E25" s="49"/>
      <c r="F25" s="49"/>
      <c r="G25" s="49"/>
      <c r="H25" s="49"/>
    </row>
    <row r="26" spans="1:26" x14ac:dyDescent="0.3">
      <c r="A26" s="10"/>
      <c r="B26" s="10"/>
      <c r="C26" s="17" t="s">
        <v>1214</v>
      </c>
      <c r="D26" s="10"/>
      <c r="E26" s="103" t="s">
        <v>3245</v>
      </c>
      <c r="F26" s="10"/>
      <c r="G26" s="10"/>
      <c r="H26" s="10"/>
      <c r="I26" s="10"/>
      <c r="J26" s="10"/>
      <c r="K26" s="10"/>
      <c r="L26" s="10"/>
      <c r="M26" s="10"/>
      <c r="N26" s="10"/>
      <c r="O26" s="10"/>
      <c r="P26" s="10"/>
      <c r="Q26" s="10"/>
      <c r="R26" s="10"/>
    </row>
    <row r="27" spans="1:26" ht="28" x14ac:dyDescent="0.3">
      <c r="A27" s="10"/>
      <c r="B27" s="10"/>
      <c r="C27" s="3"/>
      <c r="D27" s="6" t="s">
        <v>1215</v>
      </c>
      <c r="E27" s="6" t="s">
        <v>1216</v>
      </c>
      <c r="F27" s="6" t="s">
        <v>1217</v>
      </c>
      <c r="G27" s="6" t="s">
        <v>1218</v>
      </c>
      <c r="H27" s="6" t="s">
        <v>1219</v>
      </c>
      <c r="I27" s="6" t="s">
        <v>1220</v>
      </c>
      <c r="J27" s="10"/>
      <c r="K27" s="10"/>
      <c r="L27" s="10"/>
      <c r="M27" s="10"/>
      <c r="N27" s="10"/>
      <c r="O27" s="10"/>
      <c r="P27" s="10"/>
      <c r="Q27" s="10"/>
      <c r="R27" s="10"/>
      <c r="X27" s="1"/>
      <c r="Y27" s="1"/>
      <c r="Z27" s="1"/>
    </row>
    <row r="28" spans="1:26" x14ac:dyDescent="0.3">
      <c r="A28" s="10"/>
      <c r="B28" s="10"/>
      <c r="C28" s="3" t="s">
        <v>1207</v>
      </c>
      <c r="D28" s="24">
        <f>COUNTIF('ZANGBA_Cleaned Data'!AC:AC,"1")</f>
        <v>0</v>
      </c>
      <c r="E28" s="24">
        <f>COUNTIF('ZANGBA_Cleaned Data'!AD:AD,"1")</f>
        <v>0</v>
      </c>
      <c r="F28" s="24">
        <f>COUNTIF('ZANGBA_Cleaned Data'!AF:AF,"1")</f>
        <v>0</v>
      </c>
      <c r="G28" s="24">
        <f>COUNTIF('ZANGBA_Cleaned Data'!AH:AH,"1")</f>
        <v>0</v>
      </c>
      <c r="H28" s="24">
        <f>COUNTIF('ZANGBA_Cleaned Data'!AI:AI,"1")</f>
        <v>0</v>
      </c>
      <c r="I28" s="24">
        <f>COUNTIF('ZANGBA_Cleaned Data'!AK:AK,"1")</f>
        <v>1</v>
      </c>
      <c r="J28" s="74"/>
      <c r="K28" s="10"/>
      <c r="L28" s="10"/>
      <c r="M28" s="10"/>
      <c r="N28" s="10"/>
      <c r="O28" s="10"/>
      <c r="P28" s="10"/>
      <c r="Q28" s="10"/>
      <c r="R28" s="10"/>
      <c r="X28" s="1"/>
      <c r="Y28" s="1"/>
      <c r="Z28" s="1"/>
    </row>
    <row r="29" spans="1:26" s="105" customFormat="1" ht="37.5" x14ac:dyDescent="0.3">
      <c r="A29" s="107"/>
      <c r="B29" s="108"/>
      <c r="C29" s="101" t="s">
        <v>3248</v>
      </c>
      <c r="D29" s="104">
        <f>D28/$C$13</f>
        <v>0</v>
      </c>
      <c r="E29" s="104">
        <f t="shared" ref="E29:I29" si="3">E28/$C$13</f>
        <v>0</v>
      </c>
      <c r="F29" s="104">
        <f t="shared" si="3"/>
        <v>0</v>
      </c>
      <c r="G29" s="104">
        <f t="shared" si="3"/>
        <v>0</v>
      </c>
      <c r="H29" s="104">
        <f t="shared" si="3"/>
        <v>0</v>
      </c>
      <c r="I29" s="104">
        <f t="shared" si="3"/>
        <v>1</v>
      </c>
      <c r="J29" s="10"/>
    </row>
    <row r="30" spans="1:26" s="10" customFormat="1" x14ac:dyDescent="0.3">
      <c r="A30" s="14"/>
      <c r="B30" s="15"/>
      <c r="C30" s="97"/>
      <c r="D30" s="15"/>
      <c r="E30" s="15"/>
      <c r="I30" s="74" t="s">
        <v>3220</v>
      </c>
    </row>
    <row r="31" spans="1:26" x14ac:dyDescent="0.3">
      <c r="A31" s="10"/>
      <c r="B31" s="10"/>
      <c r="C31" s="17" t="s">
        <v>1865</v>
      </c>
      <c r="D31" s="14"/>
      <c r="E31" s="10"/>
      <c r="F31" s="10"/>
      <c r="G31" s="10"/>
      <c r="H31" s="10"/>
      <c r="I31" s="10"/>
      <c r="J31" s="10"/>
      <c r="K31" s="10"/>
      <c r="L31" s="10"/>
      <c r="M31" s="10"/>
      <c r="N31" s="10"/>
      <c r="O31" s="10"/>
      <c r="P31" s="10"/>
      <c r="Q31" s="10"/>
      <c r="R31" s="10"/>
    </row>
    <row r="32" spans="1:26" ht="28" x14ac:dyDescent="0.3">
      <c r="A32" s="10"/>
      <c r="B32" s="10"/>
      <c r="C32" s="3"/>
      <c r="D32" s="6" t="s">
        <v>1861</v>
      </c>
      <c r="E32" s="6" t="s">
        <v>1862</v>
      </c>
      <c r="F32" s="6" t="s">
        <v>1863</v>
      </c>
      <c r="G32" s="6" t="s">
        <v>1864</v>
      </c>
      <c r="H32" s="6" t="s">
        <v>1905</v>
      </c>
      <c r="I32" s="110" t="s">
        <v>1206</v>
      </c>
      <c r="J32" s="10"/>
      <c r="K32" s="10"/>
      <c r="L32" s="10"/>
      <c r="M32" s="10"/>
      <c r="N32" s="10"/>
      <c r="O32" s="10"/>
      <c r="P32" s="10"/>
      <c r="Q32" s="10"/>
      <c r="R32" s="10"/>
    </row>
    <row r="33" spans="1:26" x14ac:dyDescent="0.3">
      <c r="A33" s="10"/>
      <c r="B33" s="10"/>
      <c r="C33" s="3" t="s">
        <v>1207</v>
      </c>
      <c r="D33" s="24">
        <f>COUNTIF('ZANGBA_Cleaned Data'!AM:AM,"moins_six_mois")</f>
        <v>0</v>
      </c>
      <c r="E33" s="24">
        <f>COUNTIF('ZANGBA_Cleaned Data'!AM:AM,"six_mois_un_an")</f>
        <v>1</v>
      </c>
      <c r="F33" s="24">
        <f>COUNTIF('ZANGBA_Cleaned Data'!AM:AM,"un_an_trois_ans")</f>
        <v>0</v>
      </c>
      <c r="G33" s="24">
        <f>COUNTIF('ZANGBA_Cleaned Data'!AM:AM,"plus_trois_ans")</f>
        <v>0</v>
      </c>
      <c r="H33" s="24">
        <f>COUNTIF('ZANGBA_Cleaned Data'!AM:AM,"nsp")</f>
        <v>0</v>
      </c>
      <c r="I33" s="111">
        <f>SUM(D33:H33)</f>
        <v>1</v>
      </c>
      <c r="J33" s="10"/>
      <c r="K33" s="10"/>
      <c r="L33" s="10"/>
      <c r="M33" s="10"/>
      <c r="N33" s="10"/>
      <c r="O33" s="10"/>
      <c r="P33" s="10"/>
      <c r="Q33" s="10"/>
      <c r="R33" s="10"/>
    </row>
    <row r="34" spans="1:26" s="106" customFormat="1" ht="41.5" customHeight="1" x14ac:dyDescent="0.3">
      <c r="A34" s="105"/>
      <c r="B34" s="105"/>
      <c r="C34" s="101" t="s">
        <v>3248</v>
      </c>
      <c r="D34" s="104">
        <f>D33/$C$13</f>
        <v>0</v>
      </c>
      <c r="E34" s="104">
        <f t="shared" ref="E34:H34" si="4">E33/$C$13</f>
        <v>1</v>
      </c>
      <c r="F34" s="104">
        <f t="shared" si="4"/>
        <v>0</v>
      </c>
      <c r="G34" s="104">
        <f t="shared" si="4"/>
        <v>0</v>
      </c>
      <c r="H34" s="104">
        <f t="shared" si="4"/>
        <v>0</v>
      </c>
      <c r="I34" s="100">
        <f>SUM(D34:H34)</f>
        <v>1</v>
      </c>
      <c r="J34" s="105"/>
      <c r="K34" s="105"/>
      <c r="L34" s="105"/>
      <c r="M34" s="105"/>
      <c r="N34" s="105"/>
      <c r="O34" s="105"/>
      <c r="P34" s="105"/>
      <c r="Q34" s="105"/>
      <c r="R34" s="105"/>
      <c r="S34" s="105"/>
      <c r="T34" s="105"/>
      <c r="U34" s="105"/>
      <c r="V34" s="105"/>
      <c r="W34" s="105"/>
      <c r="X34" s="105"/>
      <c r="Y34" s="105"/>
      <c r="Z34" s="105"/>
    </row>
    <row r="35" spans="1:26" s="10" customFormat="1" x14ac:dyDescent="0.3">
      <c r="A35" s="14"/>
      <c r="B35" s="15"/>
      <c r="C35" s="15"/>
      <c r="D35" s="15"/>
      <c r="E35" s="15"/>
    </row>
    <row r="36" spans="1:26" ht="15.5" x14ac:dyDescent="0.35">
      <c r="A36" s="29" t="s">
        <v>1304</v>
      </c>
      <c r="B36" s="103" t="s">
        <v>3245</v>
      </c>
      <c r="C36" s="10"/>
      <c r="D36" s="10"/>
      <c r="E36" s="10"/>
      <c r="F36" s="10"/>
      <c r="G36" s="10"/>
      <c r="H36" s="10"/>
      <c r="I36" s="10"/>
      <c r="J36" s="10"/>
      <c r="K36" s="10"/>
      <c r="L36" s="10"/>
      <c r="M36" s="10"/>
      <c r="N36" s="10"/>
      <c r="O36" s="10"/>
      <c r="P36" s="10"/>
      <c r="Q36" s="10"/>
      <c r="R36" s="10"/>
    </row>
    <row r="37" spans="1:26" ht="56" x14ac:dyDescent="0.3">
      <c r="A37" s="3"/>
      <c r="B37" s="8" t="s">
        <v>1896</v>
      </c>
      <c r="C37" s="8" t="s">
        <v>1889</v>
      </c>
      <c r="D37" s="8" t="s">
        <v>1890</v>
      </c>
      <c r="E37" s="8" t="s">
        <v>1891</v>
      </c>
      <c r="F37" s="8" t="s">
        <v>1892</v>
      </c>
      <c r="G37" s="8" t="s">
        <v>1893</v>
      </c>
      <c r="H37" s="8" t="s">
        <v>1239</v>
      </c>
      <c r="I37" s="8" t="s">
        <v>1894</v>
      </c>
      <c r="J37" s="8" t="s">
        <v>1895</v>
      </c>
      <c r="K37" s="8" t="s">
        <v>1905</v>
      </c>
      <c r="L37" s="8" t="s">
        <v>1205</v>
      </c>
      <c r="M37" s="10"/>
      <c r="N37" s="10"/>
      <c r="O37" s="10"/>
      <c r="P37" s="10"/>
      <c r="Q37" s="10"/>
      <c r="R37" s="10"/>
    </row>
    <row r="38" spans="1:26" x14ac:dyDescent="0.3">
      <c r="A38" s="3" t="s">
        <v>1207</v>
      </c>
      <c r="B38" s="24">
        <f>COUNTIF('ZANGBA_Cleaned Data'!BP:BP,"1")</f>
        <v>0</v>
      </c>
      <c r="C38" s="24">
        <f>COUNTIF('ZANGBA_Cleaned Data'!BQ:BQ,"1")</f>
        <v>0</v>
      </c>
      <c r="D38" s="24">
        <f>COUNTIF('ZANGBA_Cleaned Data'!BR:BR,"1")</f>
        <v>2</v>
      </c>
      <c r="E38" s="24">
        <f>COUNTIF('ZANGBA_Cleaned Data'!BY:BY,"1")</f>
        <v>0</v>
      </c>
      <c r="F38" s="24">
        <f>COUNTIF('ZANGBA_Cleaned Data'!BZ:BZ,"1")</f>
        <v>1</v>
      </c>
      <c r="G38" s="24">
        <f>COUNTIF('ZANGBA_Cleaned Data'!BS:BS,"1")</f>
        <v>0</v>
      </c>
      <c r="H38" s="24">
        <f>COUNTIF('ZANGBA_Cleaned Data'!BT:BT,"1")</f>
        <v>3</v>
      </c>
      <c r="I38" s="24">
        <f>COUNTIF('ZANGBA_Cleaned Data'!BU:BU,"1")</f>
        <v>4</v>
      </c>
      <c r="J38" s="24">
        <f>COUNTIF('ZANGBA_Cleaned Data'!CA:CA,"1")</f>
        <v>0</v>
      </c>
      <c r="K38" s="24">
        <f>COUNTIF('ZANGBA_Cleaned Data'!BW:BW,"1")</f>
        <v>0</v>
      </c>
      <c r="L38" s="24">
        <f>COUNTIF('ZANGBA_Cleaned Data'!BX:BX,"1")</f>
        <v>0</v>
      </c>
      <c r="M38" s="10"/>
      <c r="N38" s="10"/>
      <c r="O38" s="10"/>
      <c r="P38" s="10"/>
      <c r="Q38" s="10"/>
      <c r="R38" s="10"/>
    </row>
    <row r="39" spans="1:26" s="106" customFormat="1" ht="26" x14ac:dyDescent="0.3">
      <c r="A39" s="101" t="s">
        <v>3246</v>
      </c>
      <c r="B39" s="104">
        <f>B38/$B$3</f>
        <v>0</v>
      </c>
      <c r="C39" s="104">
        <f t="shared" ref="C39:L39" si="5">C38/$B$3</f>
        <v>0</v>
      </c>
      <c r="D39" s="104">
        <f t="shared" si="5"/>
        <v>0.22222222222222221</v>
      </c>
      <c r="E39" s="104">
        <f t="shared" si="5"/>
        <v>0</v>
      </c>
      <c r="F39" s="104">
        <f t="shared" si="5"/>
        <v>0.1111111111111111</v>
      </c>
      <c r="G39" s="104">
        <f t="shared" si="5"/>
        <v>0</v>
      </c>
      <c r="H39" s="104">
        <f t="shared" si="5"/>
        <v>0.33333333333333331</v>
      </c>
      <c r="I39" s="104">
        <f t="shared" si="5"/>
        <v>0.44444444444444442</v>
      </c>
      <c r="J39" s="104">
        <f t="shared" si="5"/>
        <v>0</v>
      </c>
      <c r="K39" s="104">
        <f t="shared" si="5"/>
        <v>0</v>
      </c>
      <c r="L39" s="104">
        <f t="shared" si="5"/>
        <v>0</v>
      </c>
      <c r="M39" s="105"/>
      <c r="N39" s="105"/>
      <c r="O39" s="105"/>
      <c r="P39" s="105"/>
      <c r="Q39" s="105"/>
      <c r="R39" s="105"/>
      <c r="S39" s="105"/>
      <c r="T39" s="105"/>
      <c r="U39" s="105"/>
      <c r="V39" s="105"/>
      <c r="W39" s="105"/>
      <c r="X39" s="105"/>
      <c r="Y39" s="105"/>
      <c r="Z39" s="105"/>
    </row>
    <row r="40" spans="1:26" x14ac:dyDescent="0.3">
      <c r="A40" s="10"/>
      <c r="B40" s="10"/>
      <c r="C40" s="10"/>
      <c r="D40" s="10"/>
      <c r="E40" s="10"/>
      <c r="F40" s="10"/>
      <c r="G40" s="10"/>
      <c r="H40" s="10"/>
      <c r="I40" s="10"/>
      <c r="J40" s="10"/>
      <c r="K40" s="10"/>
      <c r="L40" s="10"/>
      <c r="M40" s="10"/>
      <c r="N40" s="10"/>
      <c r="O40" s="10"/>
      <c r="P40" s="10"/>
      <c r="Q40" s="10"/>
      <c r="R40" s="10"/>
    </row>
    <row r="41" spans="1:26" x14ac:dyDescent="0.3">
      <c r="A41" s="10"/>
      <c r="B41" s="10"/>
      <c r="C41" s="10"/>
      <c r="D41" s="10"/>
      <c r="E41" s="10"/>
      <c r="F41" s="10"/>
      <c r="G41" s="10"/>
      <c r="H41" s="10"/>
      <c r="I41" s="10"/>
      <c r="J41" s="10"/>
      <c r="K41" s="10"/>
      <c r="L41" s="10"/>
      <c r="M41" s="10"/>
      <c r="N41" s="10"/>
      <c r="O41" s="10"/>
      <c r="P41" s="10"/>
      <c r="Q41" s="10"/>
      <c r="R41" s="10"/>
    </row>
    <row r="42" spans="1:26" ht="15.5" x14ac:dyDescent="0.35">
      <c r="A42" s="9" t="s">
        <v>1295</v>
      </c>
      <c r="B42" s="10"/>
      <c r="C42" s="10"/>
      <c r="D42" s="10"/>
      <c r="E42" s="10"/>
      <c r="F42" s="10"/>
      <c r="G42" s="10"/>
      <c r="H42" s="10"/>
      <c r="I42" s="10"/>
      <c r="J42" s="10"/>
      <c r="K42" s="10"/>
      <c r="L42" s="10"/>
      <c r="M42" s="10"/>
      <c r="N42" s="10"/>
      <c r="O42" s="10"/>
      <c r="P42" s="10"/>
      <c r="Q42" s="10"/>
      <c r="R42" s="10"/>
    </row>
    <row r="43" spans="1:26" ht="15.5" x14ac:dyDescent="0.35">
      <c r="A43" s="29" t="s">
        <v>1222</v>
      </c>
      <c r="C43" s="10"/>
      <c r="D43" s="10"/>
      <c r="E43" s="10"/>
      <c r="F43" s="10"/>
      <c r="G43" s="10"/>
      <c r="H43" s="10"/>
      <c r="I43" s="10"/>
      <c r="J43" s="10"/>
      <c r="K43" s="10"/>
      <c r="L43" s="10"/>
      <c r="M43" s="10"/>
      <c r="N43" s="10"/>
      <c r="O43" s="10"/>
      <c r="P43" s="10"/>
      <c r="Q43" s="10"/>
      <c r="R43" s="10"/>
    </row>
    <row r="44" spans="1:26" ht="42" x14ac:dyDescent="0.3">
      <c r="A44" s="3"/>
      <c r="B44" s="8" t="s">
        <v>1866</v>
      </c>
      <c r="C44" s="8" t="s">
        <v>1867</v>
      </c>
      <c r="D44" s="8" t="s">
        <v>1868</v>
      </c>
      <c r="E44" s="8" t="s">
        <v>1869</v>
      </c>
      <c r="F44" s="110" t="s">
        <v>1206</v>
      </c>
      <c r="G44" s="10"/>
      <c r="H44" s="10"/>
      <c r="I44" s="10"/>
      <c r="J44" s="10"/>
      <c r="K44" s="10"/>
      <c r="L44" s="10"/>
      <c r="M44" s="10"/>
      <c r="N44" s="10"/>
      <c r="O44" s="10"/>
      <c r="P44" s="10"/>
      <c r="Q44" s="10"/>
      <c r="R44" s="10"/>
    </row>
    <row r="45" spans="1:26" x14ac:dyDescent="0.3">
      <c r="A45" s="3" t="s">
        <v>1207</v>
      </c>
      <c r="B45" s="3">
        <f>COUNTIF('ZANGBA_Cleaned Data'!AN:AN, "oui_potable")</f>
        <v>6</v>
      </c>
      <c r="C45" s="3">
        <f>COUNTIF('ZANGBA_Cleaned Data'!AN:AN, "oui_pas_potable")</f>
        <v>2</v>
      </c>
      <c r="D45" s="3">
        <f>COUNTIF('ZANGBA_Cleaned Data'!AN:AN, "oui_traitee")</f>
        <v>0</v>
      </c>
      <c r="E45" s="3">
        <f>COUNTIF('ZANGBA_Cleaned Data'!AN:AN, "non")</f>
        <v>0</v>
      </c>
      <c r="F45" s="111">
        <f>SUM(B45:E45)</f>
        <v>8</v>
      </c>
      <c r="G45" s="10"/>
      <c r="H45" s="10"/>
      <c r="I45" s="10"/>
      <c r="J45" s="10"/>
      <c r="K45" s="10"/>
      <c r="L45" s="10"/>
      <c r="M45" s="10"/>
      <c r="N45" s="10"/>
      <c r="O45" s="10"/>
      <c r="P45" s="10"/>
      <c r="Q45" s="10"/>
      <c r="R45" s="10"/>
    </row>
    <row r="46" spans="1:26" s="106" customFormat="1" ht="37.5" x14ac:dyDescent="0.3">
      <c r="A46" s="101" t="s">
        <v>1883</v>
      </c>
      <c r="B46" s="104">
        <f>(B45/$E$13)</f>
        <v>0.75</v>
      </c>
      <c r="C46" s="104">
        <f t="shared" ref="C46:E46" si="6">(C45/$E$13)</f>
        <v>0.25</v>
      </c>
      <c r="D46" s="104">
        <f t="shared" si="6"/>
        <v>0</v>
      </c>
      <c r="E46" s="104">
        <f t="shared" si="6"/>
        <v>0</v>
      </c>
      <c r="F46" s="100">
        <f>SUM(B46:E46)</f>
        <v>1</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3">
      <c r="A47" s="14"/>
      <c r="B47" s="15"/>
      <c r="C47" s="15"/>
      <c r="D47" s="14"/>
      <c r="E47" s="10"/>
      <c r="F47" s="10"/>
      <c r="G47" s="10"/>
      <c r="H47" s="10"/>
      <c r="I47" s="10"/>
      <c r="J47" s="10"/>
      <c r="K47" s="10"/>
      <c r="L47" s="10"/>
      <c r="M47" s="10"/>
      <c r="N47" s="10"/>
      <c r="O47" s="10"/>
      <c r="P47" s="10"/>
      <c r="Q47" s="10"/>
      <c r="R47" s="10"/>
    </row>
    <row r="48" spans="1:26" ht="15.5" x14ac:dyDescent="0.35">
      <c r="A48" s="60" t="s">
        <v>1223</v>
      </c>
      <c r="D48" s="10"/>
      <c r="E48" s="10"/>
      <c r="F48" s="10"/>
      <c r="G48" s="10"/>
      <c r="H48" s="10"/>
      <c r="I48" s="10"/>
      <c r="J48" s="10"/>
      <c r="K48" s="10"/>
      <c r="L48" s="10"/>
      <c r="M48" s="10"/>
      <c r="N48" s="10"/>
      <c r="O48" s="10"/>
      <c r="P48" s="10"/>
      <c r="Q48" s="10"/>
      <c r="R48" s="10"/>
    </row>
    <row r="49" spans="1:45" x14ac:dyDescent="0.3">
      <c r="A49" s="19">
        <f>AVERAGE('ZANGBA_Cleaned Data'!AO:AO)</f>
        <v>234.375</v>
      </c>
      <c r="B49" s="74"/>
      <c r="C49" s="74"/>
      <c r="D49" s="10"/>
      <c r="E49" s="10"/>
      <c r="F49" s="10"/>
      <c r="G49" s="10"/>
      <c r="H49" s="10"/>
      <c r="I49" s="10"/>
      <c r="J49" s="10"/>
      <c r="K49" s="10"/>
      <c r="L49" s="10"/>
      <c r="M49" s="10"/>
      <c r="N49" s="10"/>
      <c r="O49" s="10"/>
      <c r="P49" s="10"/>
      <c r="Q49" s="10"/>
      <c r="R49" s="10"/>
    </row>
    <row r="50" spans="1:45" x14ac:dyDescent="0.3">
      <c r="A50" s="19"/>
      <c r="B50" s="10"/>
      <c r="C50" s="10"/>
      <c r="D50" s="10"/>
      <c r="E50" s="10"/>
      <c r="F50" s="10"/>
      <c r="G50" s="10"/>
      <c r="H50" s="10"/>
      <c r="I50" s="10"/>
      <c r="J50" s="10"/>
      <c r="K50" s="10"/>
      <c r="L50" s="10"/>
      <c r="M50" s="10"/>
      <c r="N50" s="10"/>
      <c r="O50" s="10"/>
      <c r="P50" s="10"/>
      <c r="Q50" s="10"/>
      <c r="R50" s="10"/>
    </row>
    <row r="51" spans="1:45" ht="15.5" x14ac:dyDescent="0.35">
      <c r="A51" s="29" t="s">
        <v>1519</v>
      </c>
      <c r="B51" s="10"/>
      <c r="C51" s="10"/>
      <c r="D51" s="10"/>
      <c r="E51" s="10"/>
      <c r="F51" s="10"/>
      <c r="G51" s="10"/>
      <c r="H51" s="10"/>
      <c r="I51" s="10"/>
      <c r="J51" s="10"/>
      <c r="K51" s="10"/>
      <c r="L51" s="10"/>
      <c r="M51" s="10"/>
      <c r="N51" s="10"/>
      <c r="O51" s="10"/>
      <c r="P51" s="10"/>
      <c r="Q51" s="10"/>
      <c r="R51" s="10"/>
      <c r="AA51" s="10"/>
      <c r="AB51" s="10"/>
      <c r="AC51" s="10"/>
      <c r="AD51" s="10"/>
      <c r="AE51" s="10"/>
      <c r="AF51" s="10"/>
      <c r="AG51" s="10"/>
      <c r="AH51" s="10"/>
      <c r="AI51" s="10"/>
      <c r="AJ51" s="10"/>
      <c r="AK51" s="10"/>
      <c r="AL51" s="10"/>
      <c r="AM51" s="10"/>
      <c r="AN51" s="10"/>
      <c r="AO51" s="10"/>
      <c r="AP51" s="10"/>
      <c r="AQ51" s="10"/>
      <c r="AR51" s="10"/>
      <c r="AS51" s="10"/>
    </row>
    <row r="52" spans="1:45" ht="42" x14ac:dyDescent="0.3">
      <c r="A52" s="3"/>
      <c r="B52" s="8" t="s">
        <v>1520</v>
      </c>
      <c r="C52" s="8" t="s">
        <v>1521</v>
      </c>
      <c r="D52" s="8" t="s">
        <v>1522</v>
      </c>
      <c r="E52" s="8" t="s">
        <v>1523</v>
      </c>
      <c r="F52" s="8" t="s">
        <v>1524</v>
      </c>
      <c r="G52" s="8" t="s">
        <v>1905</v>
      </c>
      <c r="H52" s="8" t="s">
        <v>1220</v>
      </c>
      <c r="I52" s="110" t="s">
        <v>1206</v>
      </c>
      <c r="J52" s="10"/>
      <c r="K52" s="10"/>
      <c r="L52" s="10"/>
      <c r="M52" s="10"/>
      <c r="N52" s="10"/>
      <c r="O52" s="10"/>
      <c r="P52" s="10"/>
      <c r="Q52" s="10"/>
      <c r="R52" s="10"/>
      <c r="AA52" s="10"/>
      <c r="AB52" s="10"/>
      <c r="AC52" s="10"/>
      <c r="AD52" s="10"/>
      <c r="AE52" s="10"/>
      <c r="AF52" s="10"/>
      <c r="AG52" s="10"/>
      <c r="AH52" s="10"/>
      <c r="AI52" s="10"/>
      <c r="AJ52" s="10"/>
      <c r="AK52" s="10"/>
      <c r="AL52" s="10"/>
      <c r="AM52" s="10"/>
      <c r="AN52" s="10"/>
      <c r="AO52" s="10"/>
      <c r="AP52" s="10"/>
      <c r="AQ52" s="10"/>
      <c r="AR52" s="10"/>
      <c r="AS52" s="10"/>
    </row>
    <row r="53" spans="1:45" x14ac:dyDescent="0.3">
      <c r="A53" s="3" t="s">
        <v>1207</v>
      </c>
      <c r="B53" s="3">
        <f>COUNTIF('ZANGBA_Cleaned Data'!AP:AP,"maisons_alentours")</f>
        <v>0</v>
      </c>
      <c r="C53" s="3">
        <f>COUNTIF('ZANGBA_Cleaned Data'!AP:AP,"quartier")</f>
        <v>3</v>
      </c>
      <c r="D53" s="3">
        <f>COUNTIF('ZANGBA_Cleaned Data'!AP:AP,"plusieurs_quartiers")</f>
        <v>2</v>
      </c>
      <c r="E53" s="3">
        <f>COUNTIF('ZANGBA_Cleaned Data'!AP:AP,"localite")</f>
        <v>0</v>
      </c>
      <c r="F53" s="3">
        <f>COUNTIF('ZANGBA_Cleaned Data'!AP:AP,"localite_environs")</f>
        <v>3</v>
      </c>
      <c r="G53" s="3">
        <f>COUNTIF('ZANGBA_Cleaned Data'!AP:AP,"nsp")</f>
        <v>0</v>
      </c>
      <c r="H53" s="3">
        <f>COUNTIF('ZANGBA_Cleaned Data'!AP:AP,"autre")</f>
        <v>0</v>
      </c>
      <c r="I53" s="111">
        <f>SUM(B53:H53)</f>
        <v>8</v>
      </c>
      <c r="J53" s="10"/>
      <c r="K53" s="10"/>
      <c r="L53" s="10"/>
      <c r="M53" s="10"/>
      <c r="N53" s="10"/>
      <c r="O53" s="10"/>
      <c r="P53" s="10"/>
      <c r="Q53" s="10"/>
      <c r="R53" s="10"/>
      <c r="AA53" s="10"/>
      <c r="AB53" s="10"/>
      <c r="AC53" s="10"/>
      <c r="AD53" s="10"/>
      <c r="AE53" s="10"/>
      <c r="AF53" s="10"/>
      <c r="AG53" s="10"/>
      <c r="AH53" s="10"/>
      <c r="AI53" s="10"/>
      <c r="AJ53" s="10"/>
      <c r="AK53" s="10"/>
      <c r="AL53" s="10"/>
      <c r="AM53" s="10"/>
      <c r="AN53" s="10"/>
      <c r="AO53" s="10"/>
      <c r="AP53" s="10"/>
      <c r="AQ53" s="10"/>
      <c r="AR53" s="10"/>
      <c r="AS53" s="10"/>
    </row>
    <row r="54" spans="1:45" s="56" customFormat="1" ht="37" x14ac:dyDescent="0.3">
      <c r="A54" s="54" t="s">
        <v>1883</v>
      </c>
      <c r="B54" s="104">
        <f>(B53/$E$13)</f>
        <v>0</v>
      </c>
      <c r="C54" s="104">
        <f t="shared" ref="C54:H54" si="7">(C53/$E$13)</f>
        <v>0.375</v>
      </c>
      <c r="D54" s="104">
        <f t="shared" si="7"/>
        <v>0.25</v>
      </c>
      <c r="E54" s="104">
        <f t="shared" si="7"/>
        <v>0</v>
      </c>
      <c r="F54" s="104">
        <f t="shared" si="7"/>
        <v>0.375</v>
      </c>
      <c r="G54" s="104">
        <f t="shared" si="7"/>
        <v>0</v>
      </c>
      <c r="H54" s="104">
        <f t="shared" si="7"/>
        <v>0</v>
      </c>
      <c r="I54" s="100">
        <f>SUM(B54:H54)</f>
        <v>1</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s="10" customFormat="1" x14ac:dyDescent="0.3"/>
    <row r="56" spans="1:45" ht="15.5" x14ac:dyDescent="0.35">
      <c r="A56" s="29" t="s">
        <v>1870</v>
      </c>
      <c r="B56" s="10"/>
      <c r="C56" s="10"/>
      <c r="D56" s="10"/>
      <c r="E56" s="10"/>
      <c r="F56" s="10"/>
      <c r="G56" s="10"/>
      <c r="H56" s="10"/>
      <c r="I56" s="10"/>
      <c r="J56" s="10"/>
      <c r="K56" s="10"/>
      <c r="L56" s="10"/>
      <c r="M56" s="10"/>
      <c r="N56" s="10"/>
      <c r="O56" s="10"/>
      <c r="P56" s="10"/>
      <c r="Q56" s="10"/>
      <c r="R56" s="10"/>
      <c r="AA56" s="10"/>
      <c r="AB56" s="10"/>
      <c r="AC56" s="10"/>
      <c r="AD56" s="10"/>
      <c r="AE56" s="10"/>
      <c r="AF56" s="10"/>
      <c r="AG56" s="10"/>
      <c r="AH56" s="10"/>
      <c r="AI56" s="10"/>
      <c r="AJ56" s="10"/>
      <c r="AK56" s="10"/>
      <c r="AL56" s="10"/>
      <c r="AM56" s="10"/>
      <c r="AN56" s="10"/>
      <c r="AO56" s="10"/>
      <c r="AP56" s="10"/>
      <c r="AQ56" s="10"/>
      <c r="AR56" s="10"/>
      <c r="AS56" s="10"/>
    </row>
    <row r="57" spans="1:45" ht="28" x14ac:dyDescent="0.3">
      <c r="A57" s="3"/>
      <c r="B57" s="8" t="s">
        <v>1871</v>
      </c>
      <c r="C57" s="8" t="s">
        <v>1872</v>
      </c>
      <c r="D57" s="8" t="s">
        <v>1873</v>
      </c>
      <c r="E57" s="8" t="s">
        <v>1874</v>
      </c>
      <c r="F57" s="8" t="s">
        <v>1875</v>
      </c>
      <c r="G57" s="110" t="s">
        <v>1206</v>
      </c>
      <c r="H57" s="10"/>
      <c r="I57" s="10"/>
      <c r="J57" s="10"/>
      <c r="K57" s="10"/>
      <c r="L57" s="10"/>
      <c r="M57" s="10"/>
      <c r="N57" s="10"/>
      <c r="O57" s="10"/>
      <c r="P57" s="10"/>
      <c r="Q57" s="10"/>
      <c r="R57" s="10"/>
      <c r="AA57" s="10"/>
      <c r="AB57" s="10"/>
      <c r="AC57" s="10"/>
      <c r="AD57" s="10"/>
      <c r="AE57" s="10"/>
      <c r="AF57" s="10"/>
      <c r="AG57" s="10"/>
      <c r="AH57" s="10"/>
      <c r="AI57" s="10"/>
      <c r="AJ57" s="10"/>
      <c r="AK57" s="10"/>
      <c r="AL57" s="10"/>
      <c r="AM57" s="10"/>
      <c r="AN57" s="10"/>
      <c r="AO57" s="10"/>
      <c r="AP57" s="10"/>
      <c r="AQ57" s="10"/>
      <c r="AR57" s="10"/>
      <c r="AS57" s="10"/>
    </row>
    <row r="58" spans="1:45" x14ac:dyDescent="0.3">
      <c r="A58" s="3" t="s">
        <v>1207</v>
      </c>
      <c r="B58" s="3">
        <f>COUNTIF('ZANGBA_Cleaned Data'!AR:AR,"moins_trente_min")</f>
        <v>5</v>
      </c>
      <c r="C58" s="3">
        <f>COUNTIF('ZANGBA_Cleaned Data'!AR:AR,"une_heure")</f>
        <v>2</v>
      </c>
      <c r="D58" s="3">
        <f>COUNTIF('ZANGBA_Cleaned Data'!AR:AR,"une_deux_heures")</f>
        <v>1</v>
      </c>
      <c r="E58" s="3">
        <f>COUNTIF('ZANGBA_Cleaned Data'!AR:AR,"deux_trois_heures")</f>
        <v>0</v>
      </c>
      <c r="F58" s="3">
        <f>COUNTIF('ZANGBA_Cleaned Data'!AR:AR,"plus_trois_heures")</f>
        <v>0</v>
      </c>
      <c r="G58" s="111">
        <f>SUM(B58:F58)</f>
        <v>8</v>
      </c>
      <c r="H58" s="10"/>
      <c r="I58" s="10"/>
      <c r="J58" s="10"/>
      <c r="K58" s="10"/>
      <c r="L58" s="10"/>
      <c r="M58" s="10"/>
      <c r="N58" s="10"/>
      <c r="O58" s="10"/>
      <c r="P58" s="10"/>
      <c r="Q58" s="10"/>
      <c r="R58" s="10"/>
      <c r="AA58" s="10"/>
      <c r="AB58" s="10"/>
      <c r="AC58" s="10"/>
      <c r="AD58" s="10"/>
      <c r="AE58" s="10"/>
      <c r="AF58" s="10"/>
      <c r="AG58" s="10"/>
      <c r="AH58" s="10"/>
      <c r="AI58" s="10"/>
      <c r="AJ58" s="10"/>
      <c r="AK58" s="10"/>
      <c r="AL58" s="10"/>
      <c r="AM58" s="10"/>
      <c r="AN58" s="10"/>
      <c r="AO58" s="10"/>
      <c r="AP58" s="10"/>
      <c r="AQ58" s="10"/>
      <c r="AR58" s="10"/>
      <c r="AS58" s="10"/>
    </row>
    <row r="59" spans="1:45" s="56" customFormat="1" ht="37" x14ac:dyDescent="0.3">
      <c r="A59" s="54" t="s">
        <v>1883</v>
      </c>
      <c r="B59" s="94">
        <f>(B58/$E$13)</f>
        <v>0.625</v>
      </c>
      <c r="C59" s="94">
        <f t="shared" ref="C59:F59" si="8">(C58/$E$13)</f>
        <v>0.25</v>
      </c>
      <c r="D59" s="94">
        <f t="shared" si="8"/>
        <v>0.125</v>
      </c>
      <c r="E59" s="94">
        <f t="shared" si="8"/>
        <v>0</v>
      </c>
      <c r="F59" s="94">
        <f t="shared" si="8"/>
        <v>0</v>
      </c>
      <c r="G59" s="100">
        <f>SUM(B59:F59)</f>
        <v>1</v>
      </c>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s="10" customFormat="1" x14ac:dyDescent="0.3">
      <c r="A60" s="14"/>
      <c r="B60" s="14"/>
      <c r="C60" s="14"/>
      <c r="D60" s="14"/>
      <c r="E60" s="14"/>
      <c r="F60" s="14"/>
    </row>
    <row r="61" spans="1:45" s="10" customFormat="1" ht="15.5" x14ac:dyDescent="0.35">
      <c r="A61" s="29" t="s">
        <v>1876</v>
      </c>
      <c r="D61" s="14"/>
      <c r="E61" s="14"/>
      <c r="F61" s="14"/>
    </row>
    <row r="62" spans="1:45" s="10" customFormat="1" ht="28" x14ac:dyDescent="0.3">
      <c r="A62" s="3"/>
      <c r="B62" s="8" t="s">
        <v>3335</v>
      </c>
      <c r="C62" s="8" t="s">
        <v>1877</v>
      </c>
      <c r="D62" s="8" t="s">
        <v>1872</v>
      </c>
      <c r="E62" s="8" t="s">
        <v>1878</v>
      </c>
      <c r="F62" s="8" t="s">
        <v>1879</v>
      </c>
      <c r="G62" s="8" t="s">
        <v>1875</v>
      </c>
      <c r="H62" s="8" t="s">
        <v>1905</v>
      </c>
      <c r="I62" s="110" t="s">
        <v>1206</v>
      </c>
    </row>
    <row r="63" spans="1:45" s="10" customFormat="1" x14ac:dyDescent="0.3">
      <c r="A63" s="3" t="s">
        <v>1207</v>
      </c>
      <c r="B63" s="3">
        <f>COUNTIF('ZANGBA_Cleaned Data'!AS:AS,"aucun")</f>
        <v>1</v>
      </c>
      <c r="C63" s="3">
        <f>COUNTIF('ZANGBA_Cleaned Data'!AS:AS,"moins_trente_minutes")</f>
        <v>5</v>
      </c>
      <c r="D63" s="3">
        <f>COUNTIF('ZANGBA_Cleaned Data'!AS:AS,"moins_une_heure")</f>
        <v>1</v>
      </c>
      <c r="E63" s="3">
        <f>COUNTIF('ZANGBA_Cleaned Data'!AS:AS,"plus_une_heure")</f>
        <v>1</v>
      </c>
      <c r="F63" s="3">
        <f>COUNTIF('ZANGBA_Cleaned Data'!AS:AS,"plus_deux_heures")</f>
        <v>0</v>
      </c>
      <c r="G63" s="3">
        <f>COUNTIF('ZANGBA_Cleaned Data'!AS:AS,"plus_trois_heure")</f>
        <v>0</v>
      </c>
      <c r="H63" s="3">
        <f>COUNTIF('ZANGBA_Cleaned Data'!AS:AS,"nsp")</f>
        <v>0</v>
      </c>
      <c r="I63" s="111">
        <f>SUM(B63:H63)</f>
        <v>8</v>
      </c>
    </row>
    <row r="64" spans="1:45" s="56" customFormat="1" ht="37" x14ac:dyDescent="0.3">
      <c r="A64" s="54" t="s">
        <v>1883</v>
      </c>
      <c r="B64" s="94">
        <f>(B63/$E$13)</f>
        <v>0.125</v>
      </c>
      <c r="C64" s="94">
        <f t="shared" ref="C64:H64" si="9">(C63/$E$13)</f>
        <v>0.625</v>
      </c>
      <c r="D64" s="94">
        <f t="shared" si="9"/>
        <v>0.125</v>
      </c>
      <c r="E64" s="94">
        <f t="shared" si="9"/>
        <v>0.125</v>
      </c>
      <c r="F64" s="94">
        <f t="shared" si="9"/>
        <v>0</v>
      </c>
      <c r="G64" s="94">
        <f t="shared" si="9"/>
        <v>0</v>
      </c>
      <c r="H64" s="94">
        <f t="shared" si="9"/>
        <v>0</v>
      </c>
      <c r="I64" s="100">
        <f>SUM(B64:H64)</f>
        <v>1</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row>
    <row r="65" spans="1:26" x14ac:dyDescent="0.3">
      <c r="A65" s="10"/>
      <c r="B65" s="10"/>
      <c r="C65" s="10"/>
      <c r="D65" s="10"/>
      <c r="E65" s="10"/>
      <c r="F65" s="10"/>
      <c r="G65" s="10"/>
      <c r="H65" s="10"/>
      <c r="I65" s="10"/>
      <c r="J65" s="10"/>
      <c r="K65" s="10"/>
      <c r="L65" s="10"/>
      <c r="M65" s="10"/>
      <c r="N65" s="10"/>
      <c r="O65" s="10"/>
      <c r="P65" s="10"/>
      <c r="Q65" s="10"/>
      <c r="R65" s="10"/>
    </row>
    <row r="66" spans="1:26" ht="15.5" x14ac:dyDescent="0.35">
      <c r="A66" s="60" t="s">
        <v>1881</v>
      </c>
      <c r="D66" s="10"/>
      <c r="E66" s="10"/>
      <c r="F66" s="10"/>
      <c r="G66" s="10"/>
      <c r="H66" s="10"/>
      <c r="I66" s="10"/>
      <c r="J66" s="10"/>
      <c r="K66" s="10"/>
      <c r="L66" s="10"/>
      <c r="M66" s="10"/>
      <c r="N66" s="10"/>
      <c r="O66" s="10"/>
      <c r="P66" s="10"/>
      <c r="Q66" s="10"/>
      <c r="R66" s="10"/>
    </row>
    <row r="67" spans="1:26" x14ac:dyDescent="0.3">
      <c r="A67" s="3"/>
      <c r="B67" s="8" t="s">
        <v>1210</v>
      </c>
      <c r="C67" s="8" t="s">
        <v>1209</v>
      </c>
      <c r="D67" s="110" t="s">
        <v>1206</v>
      </c>
      <c r="E67" s="10"/>
      <c r="F67" s="10"/>
      <c r="G67" s="10"/>
      <c r="H67" s="10"/>
      <c r="I67" s="10"/>
      <c r="J67" s="10"/>
      <c r="K67" s="10"/>
      <c r="L67" s="10"/>
      <c r="M67" s="10"/>
      <c r="N67" s="10"/>
      <c r="O67" s="10"/>
      <c r="P67" s="10"/>
      <c r="Q67" s="10"/>
      <c r="R67" s="10"/>
    </row>
    <row r="68" spans="1:26" x14ac:dyDescent="0.3">
      <c r="A68" s="3" t="s">
        <v>1207</v>
      </c>
      <c r="B68" s="3">
        <f>COUNTIF('ZANGBA_Cleaned Data'!AT:AT,"OUI")</f>
        <v>3</v>
      </c>
      <c r="C68" s="3">
        <f>COUNTIF('ZANGBA_Cleaned Data'!AT:AT,"non")</f>
        <v>5</v>
      </c>
      <c r="D68" s="111">
        <f>SUM(B68:C68)</f>
        <v>8</v>
      </c>
      <c r="E68" s="10"/>
      <c r="F68" s="10"/>
      <c r="G68" s="10"/>
      <c r="H68" s="10"/>
      <c r="I68" s="10"/>
      <c r="J68" s="10"/>
      <c r="K68" s="10"/>
      <c r="L68" s="10"/>
      <c r="M68" s="10"/>
      <c r="N68" s="10"/>
      <c r="O68" s="10"/>
      <c r="P68" s="10"/>
      <c r="Q68" s="10"/>
      <c r="R68" s="10"/>
    </row>
    <row r="69" spans="1:26" s="56" customFormat="1" ht="37" x14ac:dyDescent="0.3">
      <c r="A69" s="54" t="s">
        <v>1883</v>
      </c>
      <c r="B69" s="94">
        <f>(B68/$E$13)</f>
        <v>0.375</v>
      </c>
      <c r="C69" s="94">
        <f>(C68/$E$13)</f>
        <v>0.625</v>
      </c>
      <c r="D69" s="100">
        <f>SUM(B69:C69)</f>
        <v>1</v>
      </c>
      <c r="E69" s="36"/>
      <c r="F69" s="36"/>
      <c r="G69" s="36"/>
      <c r="H69" s="36"/>
      <c r="I69" s="36"/>
      <c r="J69" s="36"/>
      <c r="K69" s="36"/>
      <c r="L69" s="36"/>
      <c r="M69" s="36"/>
      <c r="N69" s="36"/>
      <c r="O69" s="36"/>
      <c r="P69" s="36"/>
      <c r="Q69" s="36"/>
      <c r="R69" s="36"/>
      <c r="S69" s="36"/>
      <c r="T69" s="36"/>
      <c r="U69" s="36"/>
      <c r="V69" s="36"/>
      <c r="W69" s="36"/>
      <c r="X69" s="36"/>
      <c r="Y69" s="36"/>
      <c r="Z69" s="36"/>
    </row>
    <row r="70" spans="1:26" x14ac:dyDescent="0.3">
      <c r="A70" s="10"/>
      <c r="B70" s="10"/>
      <c r="C70" s="10"/>
      <c r="D70" s="10"/>
      <c r="E70" s="10"/>
      <c r="F70" s="10"/>
      <c r="G70" s="10"/>
      <c r="H70" s="10"/>
      <c r="I70" s="10"/>
      <c r="J70" s="10"/>
      <c r="K70" s="10"/>
      <c r="L70" s="10"/>
      <c r="M70" s="10"/>
      <c r="N70" s="10"/>
      <c r="O70" s="10"/>
      <c r="P70" s="10"/>
      <c r="Q70" s="10"/>
      <c r="R70" s="10"/>
    </row>
    <row r="71" spans="1:26" x14ac:dyDescent="0.3">
      <c r="A71" s="10"/>
      <c r="B71" s="18" t="s">
        <v>1224</v>
      </c>
      <c r="C71" s="10"/>
      <c r="D71" s="10"/>
      <c r="E71" s="10"/>
      <c r="F71" s="10"/>
      <c r="G71" s="10"/>
      <c r="H71" s="10"/>
      <c r="I71" s="10"/>
      <c r="J71" s="10"/>
      <c r="K71" s="10"/>
      <c r="L71" s="10"/>
      <c r="M71" s="10"/>
      <c r="N71" s="10"/>
      <c r="O71" s="10"/>
      <c r="P71" s="10"/>
      <c r="Q71" s="10"/>
      <c r="R71" s="10"/>
    </row>
    <row r="72" spans="1:26" ht="28" x14ac:dyDescent="0.3">
      <c r="A72" s="10"/>
      <c r="B72" s="3"/>
      <c r="C72" s="12" t="s">
        <v>1226</v>
      </c>
      <c r="D72" s="12" t="s">
        <v>1405</v>
      </c>
      <c r="E72" s="12" t="s">
        <v>1225</v>
      </c>
      <c r="F72" s="12" t="s">
        <v>1404</v>
      </c>
      <c r="G72" s="110" t="s">
        <v>1206</v>
      </c>
      <c r="H72" s="10"/>
      <c r="I72" s="10"/>
      <c r="J72" s="10"/>
      <c r="K72" s="10"/>
      <c r="L72" s="10"/>
      <c r="M72" s="10"/>
      <c r="N72" s="10"/>
      <c r="O72" s="10"/>
      <c r="P72" s="10"/>
      <c r="Q72" s="10"/>
      <c r="R72" s="10"/>
    </row>
    <row r="73" spans="1:26" x14ac:dyDescent="0.3">
      <c r="A73" s="10"/>
      <c r="B73" s="3" t="s">
        <v>1207</v>
      </c>
      <c r="C73" s="3">
        <f>COUNTIF('ZANGBA_Cleaned Data'!AU:AU,"bcp_diminue")</f>
        <v>0</v>
      </c>
      <c r="D73" s="3">
        <f>COUNTIF('ZANGBA_Cleaned Data'!AU:AU,"peu_diminue")</f>
        <v>3</v>
      </c>
      <c r="E73" s="3">
        <f>COUNTIF('ZANGBA_Cleaned Data'!AU:AU,"bcp_augmente")</f>
        <v>0</v>
      </c>
      <c r="F73" s="3">
        <f>COUNTIF('ZANGBA_Cleaned Data'!AU:AU,"PEU_augmente")</f>
        <v>0</v>
      </c>
      <c r="G73" s="111">
        <f>SUM(C73:F73)</f>
        <v>3</v>
      </c>
      <c r="H73" s="10"/>
      <c r="I73" s="10"/>
      <c r="J73" s="10"/>
      <c r="K73" s="10"/>
      <c r="L73" s="10"/>
      <c r="M73" s="10"/>
      <c r="N73" s="10"/>
      <c r="O73" s="10"/>
      <c r="P73" s="10"/>
      <c r="Q73" s="10"/>
      <c r="R73" s="10"/>
    </row>
    <row r="74" spans="1:26" ht="60.5" x14ac:dyDescent="0.3">
      <c r="A74" s="10"/>
      <c r="B74" s="53" t="s">
        <v>3250</v>
      </c>
      <c r="C74" s="7">
        <f>(C73/$B$68)</f>
        <v>0</v>
      </c>
      <c r="D74" s="7">
        <f>(D73/$B$68)</f>
        <v>1</v>
      </c>
      <c r="E74" s="7">
        <f>(E73/$B$68)</f>
        <v>0</v>
      </c>
      <c r="F74" s="7">
        <f>(F73/$B$68)</f>
        <v>0</v>
      </c>
      <c r="G74" s="100">
        <f>SUM(C74:F74)</f>
        <v>1</v>
      </c>
      <c r="H74" s="10"/>
      <c r="I74" s="10"/>
      <c r="J74" s="10"/>
      <c r="K74" s="10"/>
      <c r="L74" s="10"/>
      <c r="M74" s="10"/>
      <c r="N74" s="10"/>
      <c r="O74" s="10"/>
      <c r="P74" s="10"/>
      <c r="Q74" s="10"/>
      <c r="R74" s="10"/>
    </row>
    <row r="75" spans="1:26" x14ac:dyDescent="0.3">
      <c r="A75" s="10"/>
      <c r="B75" s="10"/>
      <c r="C75" s="10"/>
      <c r="D75" s="10"/>
      <c r="E75" s="10"/>
      <c r="F75" s="10"/>
      <c r="G75" s="10"/>
      <c r="H75" s="10"/>
      <c r="I75" s="10"/>
      <c r="J75" s="10"/>
      <c r="K75" s="10"/>
      <c r="L75" s="10"/>
      <c r="M75" s="10"/>
      <c r="N75" s="10"/>
      <c r="O75" s="10"/>
      <c r="P75" s="10"/>
      <c r="Q75" s="10"/>
      <c r="R75" s="10"/>
    </row>
    <row r="76" spans="1:26" x14ac:dyDescent="0.3">
      <c r="A76" s="10"/>
      <c r="B76" s="18" t="s">
        <v>1227</v>
      </c>
      <c r="C76" s="10"/>
      <c r="D76" s="103" t="s">
        <v>3245</v>
      </c>
      <c r="E76" s="10"/>
      <c r="F76" s="10"/>
      <c r="G76" s="10"/>
      <c r="H76" s="10"/>
      <c r="I76" s="10"/>
      <c r="J76" s="10"/>
      <c r="K76" s="10"/>
      <c r="L76" s="10"/>
      <c r="M76" s="10"/>
      <c r="N76" s="10"/>
      <c r="O76" s="10"/>
      <c r="P76" s="10"/>
      <c r="Q76" s="10"/>
      <c r="R76" s="10"/>
    </row>
    <row r="77" spans="1:26" s="13" customFormat="1" ht="57" customHeight="1" x14ac:dyDescent="0.3">
      <c r="A77" s="20"/>
      <c r="B77" s="3"/>
      <c r="C77" s="11" t="s">
        <v>1233</v>
      </c>
      <c r="D77" s="11" t="s">
        <v>1234</v>
      </c>
      <c r="E77" s="11" t="s">
        <v>1228</v>
      </c>
      <c r="F77" s="11" t="s">
        <v>1229</v>
      </c>
      <c r="G77" s="11" t="s">
        <v>1230</v>
      </c>
      <c r="H77" s="11" t="s">
        <v>1232</v>
      </c>
      <c r="I77" s="11" t="s">
        <v>1905</v>
      </c>
      <c r="J77" s="11" t="s">
        <v>1205</v>
      </c>
      <c r="K77" s="20"/>
      <c r="L77" s="20"/>
      <c r="M77" s="20"/>
      <c r="N77" s="20"/>
      <c r="O77" s="20"/>
      <c r="P77" s="20"/>
      <c r="Q77" s="20"/>
      <c r="R77" s="20"/>
      <c r="S77" s="20"/>
      <c r="T77" s="20"/>
      <c r="U77" s="20"/>
      <c r="V77" s="20"/>
      <c r="W77" s="20"/>
      <c r="X77" s="20"/>
      <c r="Y77" s="20"/>
      <c r="Z77" s="20"/>
    </row>
    <row r="78" spans="1:26" x14ac:dyDescent="0.3">
      <c r="A78" s="10"/>
      <c r="B78" s="3" t="s">
        <v>1207</v>
      </c>
      <c r="C78" s="3">
        <f>COUNTIF('ZANGBA_Cleaned Data'!AV:AV,"1")</f>
        <v>0</v>
      </c>
      <c r="D78" s="3">
        <f>COUNTIF('ZANGBA_Cleaned Data'!AW:AW,"1")</f>
        <v>0</v>
      </c>
      <c r="E78" s="3">
        <f>COUNTIF('ZANGBA_Cleaned Data'!AX:AX,"1")</f>
        <v>0</v>
      </c>
      <c r="F78" s="3">
        <f>COUNTIF('ZANGBA_Cleaned Data'!AY:AY,"1")</f>
        <v>0</v>
      </c>
      <c r="G78" s="3">
        <f>COUNTIF('ZANGBA_Cleaned Data'!AZ:AZ,"1")</f>
        <v>0</v>
      </c>
      <c r="H78" s="3">
        <f>COUNTIF('ZANGBA_Cleaned Data'!BA:BA,"1")</f>
        <v>0</v>
      </c>
      <c r="I78" s="3">
        <f>COUNTIF('ZANGBA_Cleaned Data'!BB:BB,"1")</f>
        <v>0</v>
      </c>
      <c r="J78" s="3">
        <f>COUNTIF('ZANGBA_Cleaned Data'!BC:BC,"1")</f>
        <v>0</v>
      </c>
      <c r="K78" s="20"/>
      <c r="L78" s="10"/>
      <c r="M78" s="10"/>
      <c r="N78" s="10"/>
      <c r="O78" s="10"/>
      <c r="P78" s="10"/>
      <c r="Q78" s="10"/>
      <c r="R78" s="10"/>
    </row>
    <row r="79" spans="1:26" ht="60.5" x14ac:dyDescent="0.3">
      <c r="A79" s="10"/>
      <c r="B79" s="53" t="s">
        <v>3251</v>
      </c>
      <c r="C79" s="7" t="e">
        <f t="shared" ref="C79:J79" si="10">C78/$E$73</f>
        <v>#DIV/0!</v>
      </c>
      <c r="D79" s="7" t="e">
        <f t="shared" si="10"/>
        <v>#DIV/0!</v>
      </c>
      <c r="E79" s="7" t="e">
        <f t="shared" si="10"/>
        <v>#DIV/0!</v>
      </c>
      <c r="F79" s="7" t="e">
        <f t="shared" si="10"/>
        <v>#DIV/0!</v>
      </c>
      <c r="G79" s="7" t="e">
        <f t="shared" si="10"/>
        <v>#DIV/0!</v>
      </c>
      <c r="H79" s="7" t="e">
        <f t="shared" si="10"/>
        <v>#DIV/0!</v>
      </c>
      <c r="I79" s="7" t="e">
        <f t="shared" si="10"/>
        <v>#DIV/0!</v>
      </c>
      <c r="J79" s="7" t="e">
        <f t="shared" si="10"/>
        <v>#DIV/0!</v>
      </c>
      <c r="K79" s="20"/>
      <c r="L79" s="10"/>
      <c r="M79" s="10"/>
      <c r="N79" s="10"/>
      <c r="O79" s="10"/>
      <c r="P79" s="10"/>
      <c r="Q79" s="10"/>
      <c r="R79" s="10"/>
    </row>
    <row r="80" spans="1:26" s="10" customFormat="1" x14ac:dyDescent="0.3">
      <c r="B80" s="15"/>
      <c r="C80" s="15"/>
      <c r="D80" s="15"/>
      <c r="E80" s="15"/>
      <c r="F80" s="15"/>
      <c r="G80" s="15"/>
      <c r="H80" s="15"/>
      <c r="I80" s="15"/>
    </row>
    <row r="81" spans="1:26" x14ac:dyDescent="0.3">
      <c r="A81" s="10"/>
      <c r="B81" s="18" t="s">
        <v>1310</v>
      </c>
      <c r="C81" s="10"/>
      <c r="D81" s="103" t="s">
        <v>3245</v>
      </c>
      <c r="E81" s="10"/>
      <c r="F81" s="10"/>
      <c r="G81" s="10"/>
      <c r="H81" s="10"/>
      <c r="I81" s="10"/>
      <c r="J81" s="10"/>
      <c r="K81" s="10"/>
      <c r="L81" s="10"/>
      <c r="M81" s="10"/>
      <c r="N81" s="10"/>
      <c r="O81" s="10"/>
      <c r="P81" s="10"/>
      <c r="Q81" s="10"/>
      <c r="R81" s="10"/>
    </row>
    <row r="82" spans="1:26" s="13" customFormat="1" ht="57" customHeight="1" x14ac:dyDescent="0.3">
      <c r="A82" s="20"/>
      <c r="B82" s="3"/>
      <c r="C82" s="11" t="s">
        <v>1884</v>
      </c>
      <c r="D82" s="11" t="s">
        <v>1885</v>
      </c>
      <c r="E82" s="11" t="s">
        <v>1886</v>
      </c>
      <c r="F82" s="11" t="s">
        <v>1887</v>
      </c>
      <c r="G82" s="11" t="s">
        <v>1888</v>
      </c>
      <c r="H82" s="11" t="s">
        <v>1905</v>
      </c>
      <c r="I82" s="11" t="s">
        <v>1205</v>
      </c>
      <c r="J82" s="20"/>
      <c r="K82" s="20"/>
      <c r="L82" s="20"/>
      <c r="M82" s="20"/>
      <c r="N82" s="20"/>
      <c r="O82" s="20"/>
      <c r="P82" s="20"/>
      <c r="Q82" s="20"/>
      <c r="R82" s="20"/>
      <c r="S82" s="20"/>
      <c r="T82" s="20"/>
      <c r="U82" s="20"/>
      <c r="V82" s="20"/>
      <c r="W82" s="20"/>
      <c r="X82" s="20"/>
      <c r="Y82" s="20"/>
      <c r="Z82" s="20"/>
    </row>
    <row r="83" spans="1:26" x14ac:dyDescent="0.3">
      <c r="A83" s="10"/>
      <c r="B83" s="3" t="s">
        <v>1207</v>
      </c>
      <c r="C83" s="3">
        <f>COUNTIF('ZANGBA_Cleaned Data'!BF:BF,"1")</f>
        <v>0</v>
      </c>
      <c r="D83" s="3">
        <f>COUNTIF('ZANGBA_Cleaned Data'!BG:BG,"1")</f>
        <v>1</v>
      </c>
      <c r="E83" s="3">
        <f>COUNTIF('ZANGBA_Cleaned Data'!BH:BH,"1")</f>
        <v>1</v>
      </c>
      <c r="F83" s="3">
        <f>COUNTIF('ZANGBA_Cleaned Data'!BI:BI,"1")</f>
        <v>2</v>
      </c>
      <c r="G83" s="3">
        <f>COUNTIF('ZANGBA_Cleaned Data'!BJ:BJ,"1")</f>
        <v>0</v>
      </c>
      <c r="H83" s="3">
        <f>COUNTIF('ZANGBA_Cleaned Data'!BK:BK,"1")</f>
        <v>0</v>
      </c>
      <c r="I83" s="3">
        <f>COUNTIF('ZANGBA_Cleaned Data'!BL:BL,"1")</f>
        <v>0</v>
      </c>
      <c r="J83" s="10"/>
      <c r="K83" s="10"/>
      <c r="L83" s="10"/>
      <c r="M83" s="10"/>
      <c r="N83" s="10"/>
      <c r="O83" s="10"/>
      <c r="P83" s="10"/>
      <c r="Q83" s="10"/>
      <c r="R83" s="10"/>
    </row>
    <row r="84" spans="1:26" ht="60.5" x14ac:dyDescent="0.3">
      <c r="A84" s="10"/>
      <c r="B84" s="53" t="s">
        <v>3252</v>
      </c>
      <c r="C84" s="7">
        <f t="shared" ref="C84:I84" si="11">C83/$D$73</f>
        <v>0</v>
      </c>
      <c r="D84" s="7">
        <f t="shared" si="11"/>
        <v>0.33333333333333331</v>
      </c>
      <c r="E84" s="7">
        <f t="shared" si="11"/>
        <v>0.33333333333333331</v>
      </c>
      <c r="F84" s="7">
        <f t="shared" si="11"/>
        <v>0.66666666666666663</v>
      </c>
      <c r="G84" s="7">
        <f t="shared" si="11"/>
        <v>0</v>
      </c>
      <c r="H84" s="7">
        <f t="shared" si="11"/>
        <v>0</v>
      </c>
      <c r="I84" s="7">
        <f t="shared" si="11"/>
        <v>0</v>
      </c>
      <c r="J84" s="10"/>
      <c r="K84" s="10"/>
      <c r="L84" s="10"/>
      <c r="M84" s="10"/>
      <c r="N84" s="10"/>
      <c r="O84" s="10"/>
      <c r="P84" s="10"/>
      <c r="Q84" s="10"/>
      <c r="R84" s="10"/>
    </row>
    <row r="85" spans="1:26" s="10" customFormat="1" x14ac:dyDescent="0.3">
      <c r="B85" s="15"/>
      <c r="C85" s="15"/>
      <c r="D85" s="15"/>
      <c r="E85" s="15"/>
      <c r="F85" s="15"/>
      <c r="G85" s="15"/>
      <c r="H85" s="15"/>
      <c r="I85" s="15"/>
    </row>
    <row r="86" spans="1:26" x14ac:dyDescent="0.3">
      <c r="A86" s="10"/>
      <c r="B86" s="10"/>
      <c r="C86" s="10"/>
      <c r="D86" s="10"/>
      <c r="E86" s="10"/>
      <c r="F86" s="10"/>
      <c r="G86" s="10"/>
      <c r="H86" s="10"/>
      <c r="I86" s="10"/>
      <c r="J86" s="10"/>
      <c r="K86" s="10"/>
      <c r="L86" s="10"/>
      <c r="M86" s="10"/>
      <c r="N86" s="10"/>
      <c r="O86" s="10"/>
      <c r="P86" s="10"/>
      <c r="Q86" s="10"/>
      <c r="R86" s="10"/>
    </row>
    <row r="87" spans="1:26" ht="15.5" x14ac:dyDescent="0.35">
      <c r="A87" s="9" t="s">
        <v>1296</v>
      </c>
      <c r="B87" s="10"/>
      <c r="C87" s="10"/>
      <c r="D87" s="10"/>
      <c r="E87" s="10"/>
      <c r="F87" s="10"/>
      <c r="G87" s="10"/>
      <c r="H87" s="10"/>
      <c r="I87" s="10"/>
      <c r="J87" s="10"/>
      <c r="K87" s="10"/>
      <c r="L87" s="10"/>
      <c r="M87" s="10"/>
      <c r="N87" s="10"/>
      <c r="O87" s="10"/>
      <c r="P87" s="10"/>
      <c r="Q87" s="10"/>
      <c r="R87" s="10"/>
    </row>
    <row r="88" spans="1:26" ht="15.5" x14ac:dyDescent="0.35">
      <c r="A88" s="29" t="s">
        <v>1857</v>
      </c>
      <c r="B88" s="10"/>
      <c r="C88" s="10"/>
      <c r="D88" s="10"/>
      <c r="E88" s="10"/>
      <c r="F88" s="10"/>
      <c r="G88" s="10"/>
      <c r="H88" s="10"/>
      <c r="I88" s="10"/>
      <c r="J88" s="10"/>
      <c r="K88" s="10"/>
      <c r="L88" s="10"/>
      <c r="M88" s="10"/>
      <c r="N88" s="10"/>
      <c r="O88" s="10"/>
      <c r="P88" s="10"/>
      <c r="Q88" s="10"/>
      <c r="R88" s="10"/>
    </row>
    <row r="89" spans="1:26" x14ac:dyDescent="0.3">
      <c r="A89" s="3"/>
      <c r="B89" s="8" t="s">
        <v>1210</v>
      </c>
      <c r="C89" s="8" t="s">
        <v>1209</v>
      </c>
      <c r="D89" s="8" t="s">
        <v>1905</v>
      </c>
      <c r="E89" s="110" t="s">
        <v>1206</v>
      </c>
      <c r="F89" s="10"/>
      <c r="G89" s="10"/>
      <c r="H89" s="10"/>
      <c r="I89" s="10"/>
      <c r="J89" s="10"/>
      <c r="K89" s="10"/>
      <c r="L89" s="10"/>
      <c r="M89" s="10"/>
      <c r="N89" s="10"/>
      <c r="O89" s="10"/>
      <c r="P89" s="10"/>
      <c r="Q89" s="10"/>
      <c r="R89" s="10"/>
    </row>
    <row r="90" spans="1:26" x14ac:dyDescent="0.3">
      <c r="A90" s="3" t="s">
        <v>1207</v>
      </c>
      <c r="B90" s="3">
        <f>COUNTIF('ZANGBA_Cleaned Data'!W:W,"OUI")</f>
        <v>5</v>
      </c>
      <c r="C90" s="3">
        <f>COUNTIF('ZANGBA_Cleaned Data'!W:W,"non")</f>
        <v>4</v>
      </c>
      <c r="D90" s="3">
        <f>COUNTIF('ZANGBA_Cleaned Data'!W:W,"nsp")</f>
        <v>0</v>
      </c>
      <c r="E90" s="111">
        <f>SUM(B90:D90)</f>
        <v>9</v>
      </c>
      <c r="F90" s="10"/>
      <c r="G90" s="10"/>
      <c r="H90" s="10"/>
      <c r="I90" s="10"/>
      <c r="J90" s="10"/>
      <c r="K90" s="10"/>
      <c r="L90" s="10"/>
      <c r="M90" s="10"/>
      <c r="N90" s="10"/>
      <c r="O90" s="10"/>
      <c r="P90" s="10"/>
      <c r="Q90" s="10"/>
      <c r="R90" s="10"/>
    </row>
    <row r="91" spans="1:26" ht="26" x14ac:dyDescent="0.3">
      <c r="A91" s="53" t="s">
        <v>3246</v>
      </c>
      <c r="B91" s="7">
        <f>(B90/$B$3)</f>
        <v>0.55555555555555558</v>
      </c>
      <c r="C91" s="7">
        <f>(C90/$B$3)</f>
        <v>0.44444444444444442</v>
      </c>
      <c r="D91" s="7">
        <f>(D90/$B$3)</f>
        <v>0</v>
      </c>
      <c r="E91" s="100">
        <f>SUM(B91:D91)</f>
        <v>1</v>
      </c>
      <c r="F91" s="10"/>
      <c r="G91" s="10"/>
      <c r="H91" s="10"/>
      <c r="I91" s="10"/>
      <c r="J91" s="10"/>
      <c r="K91" s="10"/>
      <c r="L91" s="10"/>
      <c r="M91" s="10"/>
      <c r="N91" s="10"/>
      <c r="O91" s="10"/>
      <c r="P91" s="10"/>
      <c r="Q91" s="10"/>
      <c r="R91" s="10"/>
    </row>
    <row r="92" spans="1:26" ht="15.5" x14ac:dyDescent="0.35">
      <c r="A92" s="9"/>
      <c r="B92" s="10"/>
      <c r="C92" s="10"/>
      <c r="D92" s="10"/>
      <c r="E92" s="10"/>
      <c r="F92" s="10"/>
      <c r="G92" s="10"/>
      <c r="H92" s="10"/>
      <c r="I92" s="10"/>
      <c r="J92" s="10"/>
      <c r="K92" s="10"/>
      <c r="L92" s="10"/>
      <c r="M92" s="10"/>
      <c r="N92" s="10"/>
      <c r="O92" s="10"/>
      <c r="P92" s="10"/>
      <c r="Q92" s="10"/>
      <c r="R92" s="10"/>
    </row>
    <row r="93" spans="1:26" ht="15.5" x14ac:dyDescent="0.35">
      <c r="A93" s="29" t="s">
        <v>1297</v>
      </c>
      <c r="B93" s="10"/>
      <c r="C93" s="10"/>
      <c r="D93" s="10"/>
      <c r="E93" s="10"/>
      <c r="F93" s="10"/>
      <c r="G93" s="10"/>
      <c r="H93" s="10"/>
      <c r="I93" s="10"/>
      <c r="J93" s="10"/>
      <c r="K93" s="10"/>
      <c r="L93" s="10"/>
      <c r="M93" s="10"/>
      <c r="N93" s="10"/>
      <c r="O93" s="10"/>
      <c r="P93" s="10"/>
      <c r="Q93" s="10"/>
      <c r="R93" s="10"/>
    </row>
    <row r="94" spans="1:26" x14ac:dyDescent="0.3">
      <c r="A94" s="3"/>
      <c r="B94" s="8" t="s">
        <v>1210</v>
      </c>
      <c r="C94" s="8" t="s">
        <v>1209</v>
      </c>
      <c r="D94" s="110" t="s">
        <v>1206</v>
      </c>
      <c r="E94" s="10"/>
      <c r="F94" s="10"/>
      <c r="G94" s="10"/>
      <c r="H94" s="10"/>
      <c r="I94" s="10"/>
      <c r="J94" s="10"/>
      <c r="K94" s="10"/>
      <c r="L94" s="10"/>
      <c r="M94" s="10"/>
      <c r="N94" s="10"/>
      <c r="O94" s="10"/>
      <c r="P94" s="10"/>
      <c r="Q94" s="10"/>
      <c r="R94" s="10"/>
    </row>
    <row r="95" spans="1:26" x14ac:dyDescent="0.3">
      <c r="A95" s="3" t="s">
        <v>1207</v>
      </c>
      <c r="B95" s="3">
        <f>COUNTIF('ZANGBA_Cleaned Data'!CC:CC,"oui")</f>
        <v>0</v>
      </c>
      <c r="C95" s="3">
        <f>COUNTIF('ZANGBA_Cleaned Data'!CC:CC,"non")</f>
        <v>8</v>
      </c>
      <c r="D95" s="111">
        <f>SUM(A95:C95)</f>
        <v>8</v>
      </c>
      <c r="E95" s="10"/>
      <c r="F95" s="10"/>
      <c r="G95" s="10"/>
      <c r="H95" s="10"/>
      <c r="I95" s="10"/>
      <c r="J95" s="10"/>
      <c r="K95" s="10"/>
      <c r="L95" s="10"/>
      <c r="M95" s="10"/>
      <c r="N95" s="10"/>
      <c r="O95" s="10"/>
      <c r="P95" s="10"/>
      <c r="Q95" s="10"/>
      <c r="R95" s="10"/>
    </row>
    <row r="96" spans="1:26" ht="37" x14ac:dyDescent="0.3">
      <c r="A96" s="54" t="s">
        <v>1883</v>
      </c>
      <c r="B96" s="7">
        <f>(B95/$E$13)</f>
        <v>0</v>
      </c>
      <c r="C96" s="7">
        <f>(C95/$E$13)</f>
        <v>1</v>
      </c>
      <c r="D96" s="100">
        <f>SUM(A96:C96)</f>
        <v>1</v>
      </c>
      <c r="E96" s="10"/>
      <c r="F96" s="10"/>
      <c r="G96" s="10"/>
      <c r="H96" s="10"/>
      <c r="I96" s="10"/>
      <c r="J96" s="10"/>
      <c r="K96" s="10"/>
      <c r="L96" s="10"/>
      <c r="M96" s="10"/>
      <c r="N96" s="10"/>
      <c r="O96" s="10"/>
      <c r="P96" s="10"/>
      <c r="Q96" s="10"/>
      <c r="R96" s="10"/>
    </row>
    <row r="97" spans="2:11" s="10" customFormat="1" x14ac:dyDescent="0.3"/>
    <row r="98" spans="2:11" s="10" customFormat="1" x14ac:dyDescent="0.3">
      <c r="B98" s="18" t="s">
        <v>1242</v>
      </c>
    </row>
    <row r="99" spans="2:11" s="10" customFormat="1" x14ac:dyDescent="0.3">
      <c r="B99" s="21" t="e">
        <f>AVERAGE('ZANGBA_Cleaned Data'!CF:CF)</f>
        <v>#DIV/0!</v>
      </c>
      <c r="C99" s="22" t="s">
        <v>1243</v>
      </c>
      <c r="D99" s="21" t="s">
        <v>1897</v>
      </c>
      <c r="F99" s="74"/>
      <c r="G99" s="74" t="s">
        <v>3336</v>
      </c>
    </row>
    <row r="100" spans="2:11" s="10" customFormat="1" x14ac:dyDescent="0.3"/>
    <row r="101" spans="2:11" s="10" customFormat="1" x14ac:dyDescent="0.3">
      <c r="B101" s="18" t="s">
        <v>1244</v>
      </c>
    </row>
    <row r="102" spans="2:11" s="10" customFormat="1" x14ac:dyDescent="0.3">
      <c r="B102" s="3"/>
      <c r="C102" s="11" t="s">
        <v>1210</v>
      </c>
      <c r="D102" s="11" t="s">
        <v>1209</v>
      </c>
      <c r="E102" s="11" t="s">
        <v>3259</v>
      </c>
      <c r="F102" s="110" t="s">
        <v>1206</v>
      </c>
    </row>
    <row r="103" spans="2:11" s="10" customFormat="1" x14ac:dyDescent="0.3">
      <c r="B103" s="3" t="s">
        <v>1207</v>
      </c>
      <c r="C103" s="3">
        <f>COUNTIF('ZANGBA_Cleaned Data'!CG:CG,"OUI")</f>
        <v>0</v>
      </c>
      <c r="D103" s="3">
        <f>COUNTIF('ZANGBA_Cleaned Data'!CG:CG,"non")</f>
        <v>0</v>
      </c>
      <c r="E103" s="3">
        <f>COUNTIF('ZANGBA_Cleaned Data'!CG:CG,"nsp")</f>
        <v>0</v>
      </c>
      <c r="F103" s="111">
        <f>SUM(C103:E103)</f>
        <v>0</v>
      </c>
    </row>
    <row r="104" spans="2:11" s="10" customFormat="1" ht="37.5" x14ac:dyDescent="0.3">
      <c r="B104" s="53" t="s">
        <v>3253</v>
      </c>
      <c r="C104" s="7" t="e">
        <f>(C103/$B$95)</f>
        <v>#DIV/0!</v>
      </c>
      <c r="D104" s="7" t="e">
        <f>(D103/$B$95)</f>
        <v>#DIV/0!</v>
      </c>
      <c r="E104" s="7" t="e">
        <f>(E103/$B$95)</f>
        <v>#DIV/0!</v>
      </c>
      <c r="F104" s="100" t="e">
        <f>SUM(C104:E104)</f>
        <v>#DIV/0!</v>
      </c>
      <c r="K104" s="1"/>
    </row>
    <row r="105" spans="2:11" s="10" customFormat="1" x14ac:dyDescent="0.3">
      <c r="B105" s="14"/>
      <c r="C105" s="15"/>
      <c r="D105" s="15"/>
      <c r="K105" s="1"/>
    </row>
    <row r="106" spans="2:11" s="10" customFormat="1" x14ac:dyDescent="0.3">
      <c r="B106" s="18" t="s">
        <v>1224</v>
      </c>
    </row>
    <row r="107" spans="2:11" s="10" customFormat="1" ht="28" x14ac:dyDescent="0.3">
      <c r="B107" s="3"/>
      <c r="C107" s="12" t="s">
        <v>1226</v>
      </c>
      <c r="D107" s="12" t="s">
        <v>1405</v>
      </c>
      <c r="E107" s="12" t="s">
        <v>1225</v>
      </c>
      <c r="F107" s="12" t="s">
        <v>1404</v>
      </c>
      <c r="G107" s="110" t="s">
        <v>1206</v>
      </c>
    </row>
    <row r="108" spans="2:11" s="10" customFormat="1" x14ac:dyDescent="0.3">
      <c r="B108" s="3" t="s">
        <v>1207</v>
      </c>
      <c r="C108" s="3">
        <f>COUNTIF('ZANGBA_Cleaned Data'!CH:CH,"bcp_diminue")</f>
        <v>0</v>
      </c>
      <c r="D108" s="3">
        <f>COUNTIF('ZANGBA_Cleaned Data'!CH:CH,"peu_diminue")</f>
        <v>0</v>
      </c>
      <c r="E108" s="3">
        <f>COUNTIF('ZANGBA_Cleaned Data'!CH:CH,"bcp_augmente")</f>
        <v>0</v>
      </c>
      <c r="F108" s="3">
        <f>COUNTIF('ZANGBA_Cleaned Data'!CH:CH,"PEU_augmente")</f>
        <v>0</v>
      </c>
      <c r="G108" s="111">
        <f>SUM(C108:F108)</f>
        <v>0</v>
      </c>
    </row>
    <row r="109" spans="2:11" s="10" customFormat="1" ht="60.5" x14ac:dyDescent="0.3">
      <c r="B109" s="53" t="s">
        <v>3254</v>
      </c>
      <c r="C109" s="7" t="e">
        <f>(C108/$C$103)</f>
        <v>#DIV/0!</v>
      </c>
      <c r="D109" s="7" t="e">
        <f>(D108/$C$103)</f>
        <v>#DIV/0!</v>
      </c>
      <c r="E109" s="7" t="e">
        <f>(E108/$C$103)</f>
        <v>#DIV/0!</v>
      </c>
      <c r="F109" s="7" t="e">
        <f>(F108/$C$103)</f>
        <v>#DIV/0!</v>
      </c>
      <c r="G109" s="100" t="e">
        <f>SUM(C109:F109)</f>
        <v>#DIV/0!</v>
      </c>
    </row>
    <row r="110" spans="2:11" s="10" customFormat="1" x14ac:dyDescent="0.3"/>
    <row r="111" spans="2:11" s="10" customFormat="1" x14ac:dyDescent="0.3">
      <c r="B111" s="1" t="s">
        <v>1245</v>
      </c>
      <c r="C111" s="1"/>
    </row>
    <row r="112" spans="2:11" s="10" customFormat="1" ht="42" x14ac:dyDescent="0.3">
      <c r="B112" s="11" t="s">
        <v>1246</v>
      </c>
      <c r="C112" s="11" t="s">
        <v>1247</v>
      </c>
      <c r="D112" s="11" t="s">
        <v>1248</v>
      </c>
      <c r="E112" s="11" t="s">
        <v>1249</v>
      </c>
      <c r="F112" s="11" t="s">
        <v>3259</v>
      </c>
      <c r="G112" s="11" t="s">
        <v>1205</v>
      </c>
      <c r="H112" s="110" t="s">
        <v>1206</v>
      </c>
    </row>
    <row r="113" spans="1:26" x14ac:dyDescent="0.3">
      <c r="A113" s="10"/>
      <c r="B113" s="3">
        <f>COUNTIF('ZANGBA_Cleaned Data'!CJ:CJ,"1")</f>
        <v>0</v>
      </c>
      <c r="C113" s="3">
        <f>COUNTIF('ZANGBA_Cleaned Data'!CK:CK,"1")</f>
        <v>0</v>
      </c>
      <c r="D113" s="3">
        <f>COUNTIF('ZANGBA_Cleaned Data'!CL:CL,"1")</f>
        <v>0</v>
      </c>
      <c r="E113" s="3">
        <f>COUNTIF('ZANGBA_Cleaned Data'!CM:CM,"1")</f>
        <v>0</v>
      </c>
      <c r="F113" s="3">
        <f>COUNTIF('ZANGBA_Cleaned Data'!CN:CN,"1")</f>
        <v>0</v>
      </c>
      <c r="G113" s="3">
        <f>COUNTIF('ZANGBA_Cleaned Data'!CO:CO,"1")</f>
        <v>0</v>
      </c>
      <c r="H113" s="111">
        <f>SUM(B113:G113)</f>
        <v>0</v>
      </c>
      <c r="I113" s="10"/>
      <c r="J113" s="10"/>
      <c r="K113" s="10"/>
      <c r="L113" s="10"/>
      <c r="M113" s="10"/>
      <c r="N113" s="10"/>
      <c r="O113" s="10"/>
      <c r="P113" s="10"/>
      <c r="Q113" s="10"/>
      <c r="R113" s="10"/>
    </row>
    <row r="114" spans="1:26" x14ac:dyDescent="0.3">
      <c r="A114" s="10"/>
      <c r="B114" s="14"/>
      <c r="C114" s="16"/>
      <c r="D114" s="16"/>
      <c r="E114" s="14"/>
      <c r="F114" s="16"/>
      <c r="G114" s="16"/>
      <c r="H114" s="10"/>
      <c r="I114" s="10"/>
      <c r="J114" s="10"/>
      <c r="K114" s="10"/>
      <c r="L114" s="10"/>
      <c r="M114" s="10"/>
      <c r="N114" s="10"/>
      <c r="O114" s="10"/>
      <c r="P114" s="10"/>
      <c r="Q114" s="10"/>
      <c r="R114" s="10"/>
    </row>
    <row r="115" spans="1:26" ht="15.5" x14ac:dyDescent="0.35">
      <c r="A115" s="29" t="s">
        <v>1901</v>
      </c>
      <c r="B115" s="14"/>
      <c r="C115" s="16"/>
      <c r="D115" s="16"/>
      <c r="E115" s="14"/>
      <c r="F115" s="16"/>
      <c r="G115" s="16"/>
      <c r="H115" s="10"/>
      <c r="I115" s="10"/>
      <c r="J115" s="10"/>
      <c r="K115" s="10"/>
      <c r="L115" s="10"/>
      <c r="M115" s="10"/>
      <c r="N115" s="10"/>
      <c r="O115" s="10"/>
      <c r="P115" s="10"/>
      <c r="Q115" s="10"/>
      <c r="R115" s="10"/>
    </row>
    <row r="116" spans="1:26" s="56" customFormat="1" ht="42" x14ac:dyDescent="0.35">
      <c r="A116" s="43"/>
      <c r="B116" s="8" t="s">
        <v>1902</v>
      </c>
      <c r="C116" s="8" t="s">
        <v>1898</v>
      </c>
      <c r="D116" s="8" t="s">
        <v>1899</v>
      </c>
      <c r="E116" s="8" t="s">
        <v>1896</v>
      </c>
      <c r="F116" s="8" t="s">
        <v>1903</v>
      </c>
      <c r="G116" s="8" t="s">
        <v>1900</v>
      </c>
      <c r="H116" s="8" t="s">
        <v>1905</v>
      </c>
      <c r="I116" s="8" t="s">
        <v>1205</v>
      </c>
      <c r="J116" s="110" t="s">
        <v>1206</v>
      </c>
      <c r="K116" s="36"/>
      <c r="L116" s="36"/>
      <c r="M116" s="36"/>
      <c r="N116" s="36"/>
      <c r="O116" s="36"/>
      <c r="P116" s="36"/>
      <c r="Q116" s="36"/>
      <c r="R116" s="36"/>
      <c r="S116" s="36"/>
      <c r="T116" s="36"/>
      <c r="U116" s="36"/>
      <c r="V116" s="36"/>
      <c r="W116" s="36"/>
      <c r="X116" s="36"/>
      <c r="Y116" s="36"/>
      <c r="Z116" s="36"/>
    </row>
    <row r="117" spans="1:26" x14ac:dyDescent="0.3">
      <c r="A117" s="3" t="s">
        <v>1207</v>
      </c>
      <c r="B117" s="3">
        <f>COUNTIF('ZANGBA_Cleaned Data'!CZ:CZ,"1")</f>
        <v>0</v>
      </c>
      <c r="C117" s="3">
        <f>COUNTIF('ZANGBA_Cleaned Data'!DA:DA,"1")</f>
        <v>0</v>
      </c>
      <c r="D117" s="3">
        <f>COUNTIF('ZANGBA_Cleaned Data'!DB:DB,"1")</f>
        <v>0</v>
      </c>
      <c r="E117" s="3">
        <f>COUNTIF('ZANGBA_Cleaned Data'!DC:DC,"1")</f>
        <v>0</v>
      </c>
      <c r="F117" s="3">
        <f>COUNTIF('ZANGBA_Cleaned Data'!DD:DD,"1")</f>
        <v>0</v>
      </c>
      <c r="G117" s="3">
        <f>COUNTIF('ZANGBA_Cleaned Data'!DE:DE,"1")</f>
        <v>0</v>
      </c>
      <c r="H117" s="3">
        <f>COUNTIF('ZANGBA_Cleaned Data'!DF:DF,"1")</f>
        <v>0</v>
      </c>
      <c r="I117" s="3">
        <f>COUNTIF('ZANGBA_Cleaned Data'!DG:DG,"1")</f>
        <v>0</v>
      </c>
      <c r="J117" s="111">
        <f>SUM(B117:I117)</f>
        <v>0</v>
      </c>
      <c r="K117" s="10"/>
      <c r="L117" s="10"/>
      <c r="M117" s="10"/>
      <c r="N117" s="10"/>
      <c r="O117" s="10"/>
      <c r="P117" s="10"/>
      <c r="Q117" s="10"/>
      <c r="R117" s="10"/>
    </row>
    <row r="118" spans="1:26" ht="37.5" x14ac:dyDescent="0.3">
      <c r="A118" s="53" t="s">
        <v>1921</v>
      </c>
      <c r="B118" s="7" t="e">
        <f>B117/$B$95</f>
        <v>#DIV/0!</v>
      </c>
      <c r="C118" s="7" t="e">
        <f t="shared" ref="C118:I118" si="12">C117/$B$95</f>
        <v>#DIV/0!</v>
      </c>
      <c r="D118" s="7" t="e">
        <f t="shared" si="12"/>
        <v>#DIV/0!</v>
      </c>
      <c r="E118" s="7" t="e">
        <f t="shared" si="12"/>
        <v>#DIV/0!</v>
      </c>
      <c r="F118" s="7" t="e">
        <f t="shared" si="12"/>
        <v>#DIV/0!</v>
      </c>
      <c r="G118" s="7" t="e">
        <f t="shared" si="12"/>
        <v>#DIV/0!</v>
      </c>
      <c r="H118" s="7" t="e">
        <f t="shared" si="12"/>
        <v>#DIV/0!</v>
      </c>
      <c r="I118" s="7" t="e">
        <f t="shared" si="12"/>
        <v>#DIV/0!</v>
      </c>
      <c r="J118" s="100" t="e">
        <f>SUM(B118:I118)</f>
        <v>#DIV/0!</v>
      </c>
      <c r="K118" s="10"/>
      <c r="L118" s="10"/>
      <c r="M118" s="10"/>
      <c r="N118" s="10"/>
      <c r="O118" s="10"/>
      <c r="P118" s="10"/>
      <c r="Q118" s="10"/>
      <c r="R118" s="10"/>
    </row>
    <row r="119" spans="1:26" s="10" customFormat="1" x14ac:dyDescent="0.3">
      <c r="A119" s="14"/>
      <c r="B119" s="15"/>
      <c r="C119" s="15"/>
      <c r="D119" s="15"/>
      <c r="E119" s="15"/>
      <c r="F119" s="15"/>
      <c r="G119" s="15"/>
      <c r="H119" s="15"/>
      <c r="I119" s="15"/>
    </row>
    <row r="120" spans="1:26" ht="15.5" x14ac:dyDescent="0.35">
      <c r="A120" s="59" t="s">
        <v>1904</v>
      </c>
      <c r="B120" s="15"/>
      <c r="C120" s="15"/>
      <c r="D120" s="15"/>
      <c r="E120" s="15"/>
      <c r="F120" s="15"/>
      <c r="G120" s="15"/>
      <c r="H120" s="15"/>
      <c r="I120" s="15"/>
      <c r="J120" s="10"/>
      <c r="K120" s="10"/>
      <c r="L120" s="10"/>
      <c r="M120" s="10"/>
      <c r="N120" s="10"/>
      <c r="O120" s="10"/>
      <c r="P120" s="10"/>
      <c r="Q120" s="10"/>
      <c r="R120" s="10"/>
    </row>
    <row r="121" spans="1:26" x14ac:dyDescent="0.3">
      <c r="A121" s="3"/>
      <c r="B121" s="8" t="s">
        <v>1210</v>
      </c>
      <c r="C121" s="8" t="s">
        <v>1209</v>
      </c>
      <c r="D121" s="8" t="s">
        <v>1905</v>
      </c>
      <c r="E121" s="110" t="s">
        <v>1206</v>
      </c>
      <c r="F121" s="10"/>
      <c r="G121" s="10"/>
      <c r="H121" s="10"/>
      <c r="I121" s="10"/>
      <c r="J121" s="10"/>
      <c r="K121" s="10"/>
      <c r="L121" s="10"/>
      <c r="M121" s="10"/>
      <c r="N121" s="10"/>
      <c r="O121" s="10"/>
      <c r="P121" s="10"/>
      <c r="Q121" s="10"/>
      <c r="R121" s="10"/>
    </row>
    <row r="122" spans="1:26" x14ac:dyDescent="0.3">
      <c r="A122" s="3" t="s">
        <v>1207</v>
      </c>
      <c r="B122" s="3">
        <f>COUNTIF('ZANGBA_Cleaned Data'!DI:DI,"OUI")</f>
        <v>0</v>
      </c>
      <c r="C122" s="3">
        <f>COUNTIF('ZANGBA_Cleaned Data'!DI:DI,"non")</f>
        <v>0</v>
      </c>
      <c r="D122" s="3">
        <f>COUNTIF('ZANGBA_Cleaned Data'!DI:DI,"nsp")</f>
        <v>0</v>
      </c>
      <c r="E122" s="111">
        <f>SUM(B122:D122)</f>
        <v>0</v>
      </c>
      <c r="F122" s="10"/>
      <c r="G122" s="10"/>
      <c r="H122" s="10"/>
      <c r="I122" s="10"/>
      <c r="J122" s="10"/>
      <c r="K122" s="10"/>
      <c r="L122" s="10"/>
      <c r="M122" s="10"/>
      <c r="N122" s="10"/>
      <c r="O122" s="10"/>
      <c r="P122" s="10"/>
      <c r="Q122" s="10"/>
      <c r="R122" s="10"/>
    </row>
    <row r="123" spans="1:26" ht="37.5" x14ac:dyDescent="0.3">
      <c r="A123" s="53" t="s">
        <v>1921</v>
      </c>
      <c r="B123" s="7" t="e">
        <f>(B122/$B$95)</f>
        <v>#DIV/0!</v>
      </c>
      <c r="C123" s="7" t="e">
        <f>(C122/$B$95)</f>
        <v>#DIV/0!</v>
      </c>
      <c r="D123" s="7" t="e">
        <f>(D122/$B$95)</f>
        <v>#DIV/0!</v>
      </c>
      <c r="E123" s="100" t="e">
        <f>SUM(B123:D123)</f>
        <v>#DIV/0!</v>
      </c>
      <c r="F123" s="10"/>
      <c r="G123" s="10"/>
      <c r="H123" s="10"/>
      <c r="I123" s="10"/>
      <c r="J123" s="10"/>
      <c r="K123" s="10"/>
      <c r="L123" s="10"/>
      <c r="M123" s="10"/>
      <c r="N123" s="10"/>
      <c r="O123" s="10"/>
      <c r="P123" s="10"/>
      <c r="Q123" s="10"/>
      <c r="R123" s="10"/>
    </row>
    <row r="124" spans="1:26" x14ac:dyDescent="0.3">
      <c r="A124" s="10"/>
      <c r="B124" s="10"/>
      <c r="C124" s="10"/>
      <c r="D124" s="10"/>
      <c r="E124" s="10"/>
      <c r="F124" s="10"/>
      <c r="G124" s="10"/>
      <c r="H124" s="10"/>
      <c r="I124" s="10"/>
      <c r="J124" s="10"/>
      <c r="K124" s="10"/>
      <c r="L124" s="10"/>
      <c r="M124" s="10"/>
      <c r="N124" s="10"/>
      <c r="O124" s="10"/>
      <c r="P124" s="10"/>
      <c r="Q124" s="10"/>
      <c r="R124" s="10"/>
    </row>
    <row r="125" spans="1:26" ht="15.5" x14ac:dyDescent="0.35">
      <c r="A125" s="29" t="s">
        <v>1298</v>
      </c>
      <c r="B125" s="10"/>
      <c r="C125" s="103" t="s">
        <v>3245</v>
      </c>
      <c r="D125" s="10"/>
      <c r="E125" s="10"/>
      <c r="F125" s="10"/>
      <c r="G125" s="10"/>
      <c r="H125" s="10"/>
      <c r="I125" s="10"/>
      <c r="J125" s="10"/>
      <c r="K125" s="10"/>
      <c r="L125" s="10"/>
      <c r="M125" s="10"/>
      <c r="N125" s="10"/>
      <c r="O125" s="10"/>
      <c r="P125" s="10"/>
      <c r="Q125" s="10"/>
      <c r="R125" s="10"/>
    </row>
    <row r="126" spans="1:26" x14ac:dyDescent="0.3">
      <c r="A126" s="3"/>
      <c r="B126" s="8" t="s">
        <v>1250</v>
      </c>
      <c r="C126" s="8" t="s">
        <v>1251</v>
      </c>
      <c r="D126" s="8" t="s">
        <v>1905</v>
      </c>
      <c r="E126" s="8" t="s">
        <v>1205</v>
      </c>
      <c r="F126" s="8" t="s">
        <v>1252</v>
      </c>
      <c r="G126" s="10"/>
      <c r="H126" s="10"/>
      <c r="I126" s="10"/>
      <c r="J126" s="10"/>
      <c r="K126" s="10"/>
      <c r="L126" s="10"/>
      <c r="M126" s="10"/>
      <c r="N126" s="10"/>
      <c r="O126" s="10"/>
      <c r="P126" s="10"/>
      <c r="Q126" s="10"/>
      <c r="R126" s="10"/>
    </row>
    <row r="127" spans="1:26" x14ac:dyDescent="0.3">
      <c r="A127" s="3" t="s">
        <v>1207</v>
      </c>
      <c r="B127" s="3">
        <f>COUNTIF('ZANGBA_Cleaned Data'!DR:DR,"1")</f>
        <v>3</v>
      </c>
      <c r="C127" s="3">
        <f>COUNTIF('ZANGBA_Cleaned Data'!DS:DS,"1")</f>
        <v>1</v>
      </c>
      <c r="D127" s="3">
        <f>COUNTIF('ZANGBA_Cleaned Data'!DT:DT,"1")</f>
        <v>0</v>
      </c>
      <c r="E127" s="3">
        <f>COUNTIF('ZANGBA_Cleaned Data'!DU:DU,"1")</f>
        <v>1</v>
      </c>
      <c r="F127" s="3">
        <f>COUNTIF('ZANGBA_Cleaned Data'!DV:DV,"1")</f>
        <v>3</v>
      </c>
      <c r="G127" s="10"/>
      <c r="H127" s="10"/>
      <c r="I127" s="10"/>
      <c r="J127" s="10"/>
      <c r="K127" s="10"/>
      <c r="L127" s="10"/>
      <c r="M127" s="10"/>
      <c r="N127" s="10"/>
      <c r="O127" s="10"/>
      <c r="P127" s="10"/>
      <c r="Q127" s="10"/>
      <c r="R127" s="10"/>
    </row>
    <row r="128" spans="1:26" s="56" customFormat="1" ht="25.5" x14ac:dyDescent="0.3">
      <c r="A128" s="54" t="s">
        <v>3328</v>
      </c>
      <c r="B128" s="55">
        <f>(B127/$B$3)</f>
        <v>0.33333333333333331</v>
      </c>
      <c r="C128" s="55">
        <f t="shared" ref="C128:F128" si="13">(C127/$B$3)</f>
        <v>0.1111111111111111</v>
      </c>
      <c r="D128" s="55">
        <f t="shared" si="13"/>
        <v>0</v>
      </c>
      <c r="E128" s="55">
        <f t="shared" si="13"/>
        <v>0.1111111111111111</v>
      </c>
      <c r="F128" s="55">
        <f t="shared" si="13"/>
        <v>0.33333333333333331</v>
      </c>
      <c r="G128" s="10"/>
      <c r="H128" s="36"/>
      <c r="I128" s="36"/>
      <c r="J128" s="36"/>
      <c r="K128" s="36"/>
      <c r="L128" s="36"/>
      <c r="M128" s="36"/>
      <c r="N128" s="36"/>
      <c r="O128" s="36"/>
      <c r="P128" s="36"/>
      <c r="Q128" s="36"/>
      <c r="R128" s="36"/>
      <c r="S128" s="36"/>
      <c r="T128" s="36"/>
      <c r="U128" s="36"/>
      <c r="V128" s="36"/>
      <c r="W128" s="36"/>
      <c r="X128" s="36"/>
      <c r="Y128" s="36"/>
      <c r="Z128" s="36"/>
    </row>
    <row r="129" spans="1:26" x14ac:dyDescent="0.3">
      <c r="A129" s="10"/>
      <c r="B129" s="10"/>
      <c r="C129" s="10"/>
      <c r="D129" s="10"/>
      <c r="E129" s="74" t="s">
        <v>3354</v>
      </c>
      <c r="G129" s="10"/>
      <c r="H129" s="10"/>
      <c r="I129" s="10"/>
      <c r="J129" s="10"/>
      <c r="K129" s="10"/>
      <c r="L129" s="10"/>
      <c r="M129" s="10"/>
      <c r="N129" s="10"/>
      <c r="O129" s="10"/>
      <c r="P129" s="10"/>
      <c r="Q129" s="10"/>
      <c r="R129" s="10"/>
    </row>
    <row r="130" spans="1:26" ht="15.5" x14ac:dyDescent="0.35">
      <c r="A130" s="29" t="s">
        <v>1299</v>
      </c>
      <c r="B130" s="10"/>
      <c r="C130" s="103" t="s">
        <v>3245</v>
      </c>
      <c r="D130" s="10"/>
      <c r="E130" s="10"/>
      <c r="F130" s="10"/>
      <c r="G130" s="10"/>
      <c r="H130" s="10"/>
      <c r="I130" s="10"/>
      <c r="J130" s="10"/>
      <c r="K130" s="10"/>
      <c r="L130" s="10"/>
      <c r="M130" s="10"/>
      <c r="N130" s="10"/>
      <c r="O130" s="10"/>
      <c r="P130" s="10"/>
      <c r="Q130" s="10"/>
      <c r="R130" s="10"/>
    </row>
    <row r="131" spans="1:26" s="99" customFormat="1" ht="56" x14ac:dyDescent="0.35">
      <c r="A131" s="8" t="s">
        <v>1253</v>
      </c>
      <c r="B131" s="8" t="s">
        <v>1906</v>
      </c>
      <c r="C131" s="8" t="s">
        <v>1907</v>
      </c>
      <c r="D131" s="8" t="s">
        <v>1481</v>
      </c>
      <c r="E131" s="8" t="s">
        <v>1254</v>
      </c>
      <c r="F131" s="8" t="s">
        <v>1255</v>
      </c>
      <c r="G131" s="8" t="s">
        <v>1908</v>
      </c>
      <c r="H131" s="8" t="s">
        <v>1909</v>
      </c>
      <c r="I131" s="8" t="s">
        <v>1910</v>
      </c>
      <c r="J131" s="8" t="s">
        <v>1911</v>
      </c>
      <c r="K131" s="8" t="s">
        <v>1905</v>
      </c>
      <c r="L131" s="8" t="s">
        <v>1205</v>
      </c>
      <c r="N131" s="112"/>
      <c r="O131" s="98"/>
      <c r="P131" s="98"/>
      <c r="Q131" s="98"/>
      <c r="R131" s="98"/>
      <c r="S131" s="98"/>
      <c r="T131" s="98"/>
      <c r="U131" s="98"/>
      <c r="V131" s="98"/>
      <c r="W131" s="98"/>
      <c r="X131" s="98"/>
      <c r="Y131" s="98"/>
      <c r="Z131" s="98"/>
    </row>
    <row r="132" spans="1:26" x14ac:dyDescent="0.3">
      <c r="A132" s="3">
        <f>COUNTIF('ZANGBA_Cleaned Data'!DY:DY,"1")</f>
        <v>5</v>
      </c>
      <c r="B132" s="3">
        <f>COUNTIF('ZANGBA_Cleaned Data'!DZ:DZ,"1")</f>
        <v>2</v>
      </c>
      <c r="C132" s="3">
        <f>COUNTIF('ZANGBA_Cleaned Data'!EA:EA,"1")</f>
        <v>0</v>
      </c>
      <c r="D132" s="3">
        <f>COUNTIF('ZANGBA_Cleaned Data'!EB:EB,"1")</f>
        <v>0</v>
      </c>
      <c r="E132" s="3">
        <f>COUNTIF('ZANGBA_Cleaned Data'!EC:EC,"1")</f>
        <v>0</v>
      </c>
      <c r="F132" s="3">
        <f>COUNTIF('ZANGBA_Cleaned Data'!ED:ED,"1")</f>
        <v>1</v>
      </c>
      <c r="G132" s="3">
        <f>COUNTIF('ZANGBA_Cleaned Data'!EE:EE,"1")</f>
        <v>0</v>
      </c>
      <c r="H132" s="3">
        <f>COUNTIF('ZANGBA_Cleaned Data'!EF:EF,"1")</f>
        <v>2</v>
      </c>
      <c r="I132" s="3">
        <f>COUNTIF('ZANGBA_Cleaned Data'!EG:EG,"1")</f>
        <v>2</v>
      </c>
      <c r="J132" s="3">
        <f>COUNTIF('ZANGBA_Cleaned Data'!EH:EH,"1")</f>
        <v>0</v>
      </c>
      <c r="K132" s="3">
        <f>COUNTIF('ZANGBA_Cleaned Data'!EI:EI,"1")</f>
        <v>0</v>
      </c>
      <c r="L132" s="3">
        <f>COUNTIF('ZANGBA_Cleaned Data'!EJ:EJ,"1")</f>
        <v>0</v>
      </c>
      <c r="N132" s="10"/>
      <c r="O132" s="10"/>
      <c r="P132" s="10"/>
      <c r="Q132" s="10"/>
      <c r="R132" s="10"/>
    </row>
    <row r="133" spans="1:26" x14ac:dyDescent="0.3">
      <c r="A133" s="10"/>
      <c r="B133" s="10"/>
      <c r="C133" s="10"/>
      <c r="D133" s="10"/>
      <c r="E133" s="10"/>
      <c r="F133" s="10"/>
      <c r="G133" s="10"/>
      <c r="H133" s="10"/>
      <c r="I133" s="10"/>
      <c r="J133" s="10"/>
      <c r="K133" s="10"/>
      <c r="L133" s="10"/>
      <c r="M133" s="10"/>
      <c r="N133" s="10"/>
      <c r="O133" s="10"/>
      <c r="P133" s="10"/>
      <c r="Q133" s="10"/>
      <c r="R133" s="10"/>
    </row>
    <row r="134" spans="1:26" ht="15.5" x14ac:dyDescent="0.35">
      <c r="A134" s="29" t="s">
        <v>1300</v>
      </c>
      <c r="B134" s="10"/>
      <c r="C134" s="103" t="s">
        <v>3245</v>
      </c>
      <c r="D134" s="10"/>
      <c r="E134" s="10"/>
      <c r="F134" s="10"/>
      <c r="G134" s="10"/>
      <c r="H134" s="10"/>
      <c r="I134" s="10"/>
      <c r="J134" s="10"/>
      <c r="K134" s="10"/>
      <c r="L134" s="10"/>
      <c r="M134" s="10"/>
      <c r="N134" s="10"/>
      <c r="O134" s="10"/>
      <c r="P134" s="10"/>
      <c r="Q134" s="10"/>
      <c r="R134" s="10"/>
    </row>
    <row r="135" spans="1:26" s="99" customFormat="1" ht="42" x14ac:dyDescent="0.35">
      <c r="A135" s="8" t="s">
        <v>1912</v>
      </c>
      <c r="B135" s="8" t="s">
        <v>1896</v>
      </c>
      <c r="C135" s="8" t="s">
        <v>1913</v>
      </c>
      <c r="D135" s="8" t="s">
        <v>1914</v>
      </c>
      <c r="E135" s="8" t="s">
        <v>1915</v>
      </c>
      <c r="F135" s="8" t="s">
        <v>1916</v>
      </c>
      <c r="G135" s="8" t="s">
        <v>1917</v>
      </c>
      <c r="H135" s="8" t="s">
        <v>1918</v>
      </c>
      <c r="I135" s="8" t="s">
        <v>1919</v>
      </c>
      <c r="J135" s="8" t="s">
        <v>1252</v>
      </c>
      <c r="K135" s="8" t="s">
        <v>1905</v>
      </c>
      <c r="L135" s="8" t="s">
        <v>1205</v>
      </c>
      <c r="N135" s="98"/>
      <c r="O135" s="98"/>
      <c r="P135" s="98"/>
      <c r="Q135" s="98"/>
      <c r="R135" s="98"/>
      <c r="S135" s="98"/>
      <c r="T135" s="98"/>
      <c r="U135" s="98"/>
      <c r="V135" s="98"/>
      <c r="W135" s="98"/>
      <c r="X135" s="98"/>
      <c r="Y135" s="98"/>
      <c r="Z135" s="98"/>
    </row>
    <row r="136" spans="1:26" x14ac:dyDescent="0.3">
      <c r="A136" s="24">
        <f>COUNTIF('ZANGBA_Cleaned Data'!EN:EN,"1")</f>
        <v>3</v>
      </c>
      <c r="B136" s="24">
        <f>COUNTIF('ZANGBA_Cleaned Data'!EO:EO,"1")</f>
        <v>0</v>
      </c>
      <c r="C136" s="24">
        <f>COUNTIF('ZANGBA_Cleaned Data'!EP:EP,"1")</f>
        <v>0</v>
      </c>
      <c r="D136" s="24">
        <f>COUNTIF('ZANGBA_Cleaned Data'!EQ:EQ,"1")</f>
        <v>0</v>
      </c>
      <c r="E136" s="24">
        <f>COUNTIF('ZANGBA_Cleaned Data'!ER:ER,"1")</f>
        <v>1</v>
      </c>
      <c r="F136" s="24">
        <f>COUNTIF('ZANGBA_Cleaned Data'!ES:ES,"1")</f>
        <v>0</v>
      </c>
      <c r="G136" s="24">
        <f>COUNTIF('ZANGBA_Cleaned Data'!ET:ET,"1")</f>
        <v>0</v>
      </c>
      <c r="H136" s="24">
        <f>COUNTIF('ZANGBA_Cleaned Data'!EU:EU,"1")</f>
        <v>1</v>
      </c>
      <c r="I136" s="24">
        <f>COUNTIF('ZANGBA_Cleaned Data'!EV:EV,"1")</f>
        <v>1</v>
      </c>
      <c r="J136" s="24">
        <f>COUNTIF('ZANGBA_Cleaned Data'!EW:EW,"1")</f>
        <v>4</v>
      </c>
      <c r="K136" s="24">
        <f>COUNTIF('ZANGBA_Cleaned Data'!EX:EX,"1")</f>
        <v>1</v>
      </c>
      <c r="L136" s="24">
        <f>COUNTIF('ZANGBA_Cleaned Data'!EY:EY,"1")</f>
        <v>0</v>
      </c>
      <c r="N136" s="10"/>
      <c r="O136" s="10"/>
      <c r="P136" s="10"/>
      <c r="Q136" s="10"/>
      <c r="R136" s="10"/>
    </row>
    <row r="137" spans="1:26" x14ac:dyDescent="0.3">
      <c r="A137" s="10"/>
      <c r="B137" s="10"/>
      <c r="C137" s="10"/>
      <c r="D137" s="10"/>
      <c r="E137" s="10"/>
      <c r="F137" s="10"/>
      <c r="G137" s="10"/>
      <c r="H137" s="10"/>
      <c r="I137" s="10"/>
      <c r="J137" s="10"/>
      <c r="K137" s="10"/>
      <c r="L137" s="10"/>
      <c r="M137" s="10"/>
      <c r="N137" s="10"/>
      <c r="O137" s="10"/>
      <c r="P137" s="10"/>
      <c r="Q137" s="10"/>
      <c r="R137" s="10"/>
    </row>
    <row r="138" spans="1:26" ht="15.5" x14ac:dyDescent="0.35">
      <c r="A138" s="29" t="s">
        <v>1334</v>
      </c>
      <c r="B138" s="10"/>
      <c r="C138" s="10"/>
      <c r="D138" s="10"/>
      <c r="E138" s="10"/>
      <c r="F138" s="10"/>
      <c r="G138" s="10"/>
      <c r="H138" s="10"/>
      <c r="I138" s="10"/>
      <c r="J138" s="10"/>
      <c r="K138" s="10"/>
      <c r="L138" s="10"/>
      <c r="M138" s="10"/>
      <c r="N138" s="10"/>
      <c r="O138" s="10"/>
      <c r="P138" s="10"/>
      <c r="Q138" s="10"/>
      <c r="R138" s="10"/>
    </row>
    <row r="139" spans="1:26" x14ac:dyDescent="0.3">
      <c r="A139" s="3"/>
      <c r="B139" s="8" t="s">
        <v>1210</v>
      </c>
      <c r="C139" s="8" t="s">
        <v>1209</v>
      </c>
      <c r="D139" s="110" t="s">
        <v>1206</v>
      </c>
      <c r="E139" s="10"/>
      <c r="F139" s="10"/>
      <c r="G139" s="10"/>
      <c r="H139" s="10"/>
      <c r="I139" s="10"/>
      <c r="J139" s="10"/>
      <c r="K139" s="10"/>
      <c r="L139" s="10"/>
      <c r="M139" s="10"/>
      <c r="N139" s="10"/>
      <c r="O139" s="10"/>
      <c r="P139" s="10"/>
      <c r="Q139" s="10"/>
      <c r="R139" s="10"/>
    </row>
    <row r="140" spans="1:26" x14ac:dyDescent="0.3">
      <c r="A140" s="3" t="s">
        <v>1207</v>
      </c>
      <c r="B140" s="24">
        <f>COUNTIF('ZANGBA_Cleaned Data'!FB:FB,"OUI")</f>
        <v>2</v>
      </c>
      <c r="C140" s="24">
        <f>COUNTIF('ZANGBA_Cleaned Data'!FB:FB,"non")</f>
        <v>7</v>
      </c>
      <c r="D140" s="111">
        <f>SUM(B140:C140)</f>
        <v>9</v>
      </c>
      <c r="E140" s="10"/>
      <c r="F140" s="10"/>
      <c r="G140" s="10"/>
      <c r="H140" s="10"/>
      <c r="I140" s="10"/>
      <c r="J140" s="10"/>
      <c r="K140" s="10"/>
      <c r="L140" s="10"/>
      <c r="M140" s="10"/>
      <c r="N140" s="10"/>
      <c r="O140" s="10"/>
      <c r="P140" s="10"/>
      <c r="Q140" s="10"/>
      <c r="R140" s="10"/>
    </row>
    <row r="141" spans="1:26" ht="26" x14ac:dyDescent="0.3">
      <c r="A141" s="53" t="s">
        <v>3246</v>
      </c>
      <c r="B141" s="7">
        <f>(B140/$B$3)</f>
        <v>0.22222222222222221</v>
      </c>
      <c r="C141" s="7">
        <f>(C140/$B$3)</f>
        <v>0.77777777777777779</v>
      </c>
      <c r="D141" s="100">
        <f>SUM(B141:C141)</f>
        <v>1</v>
      </c>
      <c r="E141" s="10"/>
      <c r="F141" s="10"/>
      <c r="G141" s="10"/>
      <c r="H141" s="10"/>
      <c r="I141" s="10"/>
      <c r="J141" s="10"/>
      <c r="K141" s="10"/>
      <c r="L141" s="10"/>
      <c r="M141" s="10"/>
      <c r="N141" s="10"/>
      <c r="O141" s="10"/>
      <c r="P141" s="10"/>
      <c r="Q141" s="10"/>
      <c r="R141" s="10"/>
    </row>
    <row r="142" spans="1:26" x14ac:dyDescent="0.3">
      <c r="A142" s="10"/>
      <c r="B142" s="10"/>
      <c r="C142" s="10"/>
      <c r="D142" s="10"/>
      <c r="E142" s="10"/>
      <c r="F142" s="10"/>
      <c r="G142" s="10"/>
      <c r="H142" s="10"/>
      <c r="I142" s="10"/>
      <c r="J142" s="10"/>
      <c r="K142" s="10"/>
      <c r="L142" s="10"/>
      <c r="M142" s="10"/>
      <c r="N142" s="10"/>
      <c r="O142" s="10"/>
      <c r="P142" s="10"/>
      <c r="Q142" s="10"/>
      <c r="R142" s="10"/>
    </row>
    <row r="143" spans="1:26" x14ac:dyDescent="0.3">
      <c r="A143" s="10"/>
      <c r="B143" s="18" t="s">
        <v>1262</v>
      </c>
      <c r="C143" s="10"/>
      <c r="D143" s="103" t="s">
        <v>3245</v>
      </c>
      <c r="E143" s="10"/>
      <c r="F143" s="10"/>
      <c r="G143" s="10"/>
      <c r="H143" s="10"/>
      <c r="I143" s="10"/>
      <c r="J143" s="10"/>
      <c r="K143" s="10"/>
      <c r="L143" s="10"/>
      <c r="M143" s="10"/>
      <c r="N143" s="10"/>
      <c r="O143" s="10"/>
      <c r="P143" s="10"/>
      <c r="Q143" s="10"/>
      <c r="R143" s="10"/>
    </row>
    <row r="144" spans="1:26" s="56" customFormat="1" ht="28" x14ac:dyDescent="0.3">
      <c r="A144" s="36"/>
      <c r="B144" s="3"/>
      <c r="C144" s="11" t="s">
        <v>1922</v>
      </c>
      <c r="D144" s="11" t="s">
        <v>1369</v>
      </c>
      <c r="E144" s="11" t="s">
        <v>1923</v>
      </c>
      <c r="F144" s="11" t="s">
        <v>1924</v>
      </c>
      <c r="G144" s="11" t="s">
        <v>1925</v>
      </c>
      <c r="H144" s="11" t="s">
        <v>1905</v>
      </c>
      <c r="I144" s="11" t="s">
        <v>1205</v>
      </c>
      <c r="J144" s="10"/>
      <c r="K144" s="61"/>
      <c r="L144" s="36"/>
      <c r="M144" s="36"/>
      <c r="N144" s="36"/>
      <c r="O144" s="36"/>
      <c r="P144" s="36"/>
      <c r="Q144" s="36"/>
      <c r="R144" s="36"/>
      <c r="S144" s="36"/>
      <c r="T144" s="36"/>
      <c r="U144" s="36"/>
      <c r="V144" s="36"/>
      <c r="W144" s="36"/>
      <c r="X144" s="36"/>
      <c r="Y144" s="36"/>
      <c r="Z144" s="36"/>
    </row>
    <row r="145" spans="1:26" x14ac:dyDescent="0.3">
      <c r="A145" s="10"/>
      <c r="B145" s="3" t="s">
        <v>1207</v>
      </c>
      <c r="C145" s="24">
        <f>COUNTIF('ZANGBA_Cleaned Data'!FD:FD,"1")</f>
        <v>0</v>
      </c>
      <c r="D145" s="24">
        <f>COUNTIF('ZANGBA_Cleaned Data'!FE:FE,"1")</f>
        <v>0</v>
      </c>
      <c r="E145" s="24">
        <f>COUNTIF('ZANGBA_Cleaned Data'!FF:FF,"1")</f>
        <v>0</v>
      </c>
      <c r="F145" s="24">
        <f>COUNTIF('ZANGBA_Cleaned Data'!FG:FG,"1")</f>
        <v>0</v>
      </c>
      <c r="G145" s="24">
        <f>COUNTIF('ZANGBA_Cleaned Data'!FH:FH,"1")</f>
        <v>1</v>
      </c>
      <c r="H145" s="24">
        <f>COUNTIF('ZANGBA_Cleaned Data'!FI:FI,"1")</f>
        <v>1</v>
      </c>
      <c r="I145" s="24">
        <f>COUNTIF('ZANGBA_Cleaned Data'!FJ:FJ,"1")</f>
        <v>0</v>
      </c>
      <c r="J145" s="10"/>
      <c r="K145" s="10"/>
      <c r="L145" s="10"/>
      <c r="M145" s="10"/>
      <c r="N145" s="10"/>
      <c r="O145" s="10"/>
      <c r="P145" s="10"/>
      <c r="Q145" s="10"/>
      <c r="R145" s="10"/>
    </row>
    <row r="146" spans="1:26" ht="49" x14ac:dyDescent="0.3">
      <c r="A146" s="10"/>
      <c r="B146" s="53" t="s">
        <v>3255</v>
      </c>
      <c r="C146" s="7">
        <f>C145/$B$140</f>
        <v>0</v>
      </c>
      <c r="D146" s="7">
        <f t="shared" ref="D146:I146" si="14">D145/$B$140</f>
        <v>0</v>
      </c>
      <c r="E146" s="7">
        <f t="shared" si="14"/>
        <v>0</v>
      </c>
      <c r="F146" s="7">
        <f t="shared" si="14"/>
        <v>0</v>
      </c>
      <c r="G146" s="7">
        <f t="shared" si="14"/>
        <v>0.5</v>
      </c>
      <c r="H146" s="7">
        <f t="shared" si="14"/>
        <v>0.5</v>
      </c>
      <c r="I146" s="7">
        <f t="shared" si="14"/>
        <v>0</v>
      </c>
      <c r="J146" s="10"/>
      <c r="K146" s="10"/>
      <c r="L146" s="10"/>
      <c r="M146" s="10"/>
      <c r="N146" s="10"/>
      <c r="O146" s="10"/>
      <c r="P146" s="10"/>
      <c r="Q146" s="10"/>
      <c r="R146" s="10"/>
    </row>
    <row r="147" spans="1:26" x14ac:dyDescent="0.3">
      <c r="A147" s="10"/>
      <c r="B147" s="10"/>
      <c r="C147" s="10"/>
      <c r="D147" s="10"/>
      <c r="E147" s="10"/>
      <c r="F147" s="10"/>
      <c r="G147" s="10"/>
      <c r="H147" s="10"/>
      <c r="I147" s="10"/>
      <c r="J147" s="10"/>
      <c r="K147" s="10"/>
      <c r="L147" s="10"/>
      <c r="M147" s="10"/>
      <c r="N147" s="10"/>
      <c r="O147" s="10"/>
      <c r="P147" s="10"/>
      <c r="Q147" s="10"/>
      <c r="R147" s="10"/>
    </row>
    <row r="148" spans="1:26" x14ac:dyDescent="0.3">
      <c r="A148" s="10"/>
      <c r="B148" s="18" t="s">
        <v>1265</v>
      </c>
      <c r="C148" s="10"/>
      <c r="D148" s="103" t="s">
        <v>3245</v>
      </c>
      <c r="E148" s="10"/>
      <c r="F148" s="10"/>
      <c r="G148" s="10"/>
      <c r="H148" s="10"/>
      <c r="I148" s="10"/>
      <c r="J148" s="10"/>
      <c r="K148" s="10"/>
      <c r="L148" s="10"/>
      <c r="M148" s="10"/>
      <c r="N148" s="10"/>
      <c r="O148" s="10"/>
      <c r="P148" s="10"/>
      <c r="Q148" s="10"/>
      <c r="R148" s="10"/>
    </row>
    <row r="149" spans="1:26" s="56" customFormat="1" ht="56" x14ac:dyDescent="0.3">
      <c r="A149" s="36"/>
      <c r="B149" s="3"/>
      <c r="C149" s="11" t="s">
        <v>1928</v>
      </c>
      <c r="D149" s="11" t="s">
        <v>1926</v>
      </c>
      <c r="E149" s="11" t="s">
        <v>1268</v>
      </c>
      <c r="F149" s="11" t="s">
        <v>1269</v>
      </c>
      <c r="G149" s="11" t="s">
        <v>1927</v>
      </c>
      <c r="H149" s="11" t="s">
        <v>1266</v>
      </c>
      <c r="I149" s="11" t="s">
        <v>1267</v>
      </c>
      <c r="J149" s="11" t="s">
        <v>1929</v>
      </c>
      <c r="K149" s="11" t="s">
        <v>1930</v>
      </c>
      <c r="L149" s="11" t="s">
        <v>1931</v>
      </c>
      <c r="M149" s="11" t="s">
        <v>1932</v>
      </c>
      <c r="N149" s="11" t="s">
        <v>1905</v>
      </c>
      <c r="O149" s="11" t="s">
        <v>1220</v>
      </c>
      <c r="P149" s="61"/>
      <c r="Q149" s="61"/>
      <c r="S149" s="36"/>
      <c r="T149" s="36"/>
      <c r="U149" s="36"/>
      <c r="V149" s="36"/>
      <c r="W149" s="36"/>
      <c r="X149" s="36"/>
      <c r="Y149" s="36"/>
      <c r="Z149" s="36"/>
    </row>
    <row r="150" spans="1:26" x14ac:dyDescent="0.3">
      <c r="A150" s="10"/>
      <c r="B150" s="3" t="s">
        <v>1207</v>
      </c>
      <c r="C150" s="24">
        <f>COUNTIF('ZANGBA_Cleaned Data'!FM:FM,"1")</f>
        <v>0</v>
      </c>
      <c r="D150" s="24">
        <f>COUNTIF('ZANGBA_Cleaned Data'!FN:FN,"1")</f>
        <v>0</v>
      </c>
      <c r="E150" s="24">
        <f>COUNTIF('ZANGBA_Cleaned Data'!FO:FO,"1")</f>
        <v>0</v>
      </c>
      <c r="F150" s="24">
        <f>COUNTIF('ZANGBA_Cleaned Data'!FP:FP,"1")</f>
        <v>0</v>
      </c>
      <c r="G150" s="24">
        <f>COUNTIF('ZANGBA_Cleaned Data'!FQ:FQ,"1")</f>
        <v>0</v>
      </c>
      <c r="H150" s="24">
        <f>COUNTIF('ZANGBA_Cleaned Data'!FR:FR,"1")</f>
        <v>0</v>
      </c>
      <c r="I150" s="24">
        <f>COUNTIF('ZANGBA_Cleaned Data'!FS:FS,"1")</f>
        <v>1</v>
      </c>
      <c r="J150" s="24">
        <f>COUNTIF('ZANGBA_Cleaned Data'!FT:FT,"1")</f>
        <v>0</v>
      </c>
      <c r="K150" s="24">
        <f>COUNTIF('ZANGBA_Cleaned Data'!FU:FU,"1")</f>
        <v>1</v>
      </c>
      <c r="L150" s="24">
        <f>COUNTIF('ZANGBA_Cleaned Data'!FV:FV,"1")</f>
        <v>0</v>
      </c>
      <c r="M150" s="24">
        <f>COUNTIF('ZANGBA_Cleaned Data'!FW:FW,"1")</f>
        <v>0</v>
      </c>
      <c r="N150" s="24">
        <f>COUNTIF('ZANGBA_Cleaned Data'!FX:FX,"1")</f>
        <v>0</v>
      </c>
      <c r="O150" s="24">
        <f>COUNTIF('ZANGBA_Cleaned Data'!FY:FY,"1")</f>
        <v>0</v>
      </c>
      <c r="P150" s="10"/>
      <c r="Q150" s="10"/>
      <c r="R150" s="10"/>
    </row>
    <row r="151" spans="1:26" ht="49" x14ac:dyDescent="0.3">
      <c r="A151" s="10"/>
      <c r="B151" s="53" t="s">
        <v>3255</v>
      </c>
      <c r="C151" s="7">
        <f>C150/$B$140</f>
        <v>0</v>
      </c>
      <c r="D151" s="7">
        <f t="shared" ref="D151:O151" si="15">D150/$B$140</f>
        <v>0</v>
      </c>
      <c r="E151" s="7">
        <f t="shared" si="15"/>
        <v>0</v>
      </c>
      <c r="F151" s="7">
        <f t="shared" si="15"/>
        <v>0</v>
      </c>
      <c r="G151" s="7">
        <f t="shared" si="15"/>
        <v>0</v>
      </c>
      <c r="H151" s="7">
        <f t="shared" si="15"/>
        <v>0</v>
      </c>
      <c r="I151" s="7">
        <f t="shared" si="15"/>
        <v>0.5</v>
      </c>
      <c r="J151" s="7">
        <f t="shared" si="15"/>
        <v>0</v>
      </c>
      <c r="K151" s="7">
        <f t="shared" si="15"/>
        <v>0.5</v>
      </c>
      <c r="L151" s="7">
        <f t="shared" si="15"/>
        <v>0</v>
      </c>
      <c r="M151" s="7">
        <f t="shared" si="15"/>
        <v>0</v>
      </c>
      <c r="N151" s="7">
        <f t="shared" si="15"/>
        <v>0</v>
      </c>
      <c r="O151" s="7">
        <f t="shared" si="15"/>
        <v>0</v>
      </c>
      <c r="P151" s="10"/>
      <c r="Q151" s="10"/>
      <c r="R151" s="10"/>
    </row>
    <row r="152" spans="1:26" s="10" customFormat="1" x14ac:dyDescent="0.3">
      <c r="B152" s="15"/>
      <c r="C152" s="15"/>
      <c r="D152" s="15"/>
      <c r="E152" s="15"/>
      <c r="F152" s="15"/>
      <c r="G152" s="15"/>
      <c r="H152" s="15"/>
    </row>
    <row r="153" spans="1:26" x14ac:dyDescent="0.3">
      <c r="A153" s="10"/>
      <c r="B153" s="18" t="s">
        <v>1406</v>
      </c>
      <c r="C153" s="10"/>
      <c r="D153" s="10"/>
      <c r="E153" s="10"/>
      <c r="F153" s="10"/>
      <c r="G153" s="10"/>
      <c r="H153" s="10"/>
      <c r="I153" s="10"/>
      <c r="J153" s="10"/>
      <c r="K153" s="10"/>
      <c r="L153" s="10"/>
      <c r="M153" s="10"/>
      <c r="N153" s="10"/>
      <c r="O153" s="10"/>
      <c r="P153" s="10"/>
      <c r="Q153" s="10"/>
      <c r="R153" s="10"/>
    </row>
    <row r="154" spans="1:26" x14ac:dyDescent="0.3">
      <c r="A154" s="10"/>
      <c r="B154" s="3"/>
      <c r="C154" s="11" t="s">
        <v>1210</v>
      </c>
      <c r="D154" s="11" t="s">
        <v>1209</v>
      </c>
      <c r="E154" s="110" t="s">
        <v>1206</v>
      </c>
      <c r="F154" s="10"/>
      <c r="G154" s="10"/>
      <c r="H154" s="10"/>
      <c r="I154" s="10"/>
      <c r="J154" s="10"/>
      <c r="K154" s="10"/>
      <c r="L154" s="10"/>
      <c r="M154" s="10"/>
      <c r="N154" s="10"/>
      <c r="O154" s="10"/>
      <c r="P154" s="10"/>
      <c r="Q154" s="10"/>
      <c r="R154" s="10"/>
    </row>
    <row r="155" spans="1:26" x14ac:dyDescent="0.3">
      <c r="A155" s="10"/>
      <c r="B155" s="3" t="s">
        <v>1207</v>
      </c>
      <c r="C155" s="24">
        <f>COUNTIF('ZANGBA_Cleaned Data'!GA:GA,"OUI")</f>
        <v>2</v>
      </c>
      <c r="D155" s="24">
        <f>COUNTIF('ZANGBA_Cleaned Data'!GA:GA,"non")</f>
        <v>0</v>
      </c>
      <c r="E155" s="111">
        <f>SUM(C155:D155)</f>
        <v>2</v>
      </c>
      <c r="F155" s="10"/>
      <c r="G155" s="10"/>
      <c r="H155" s="10"/>
      <c r="I155" s="10"/>
      <c r="J155" s="10"/>
      <c r="K155" s="10"/>
      <c r="L155" s="10"/>
      <c r="M155" s="10"/>
      <c r="N155" s="10"/>
      <c r="O155" s="10"/>
      <c r="P155" s="10"/>
      <c r="Q155" s="10"/>
      <c r="R155" s="10"/>
    </row>
    <row r="156" spans="1:26" ht="49" x14ac:dyDescent="0.3">
      <c r="A156" s="10"/>
      <c r="B156" s="53" t="s">
        <v>3255</v>
      </c>
      <c r="C156" s="7">
        <f>(C155/$B$140)</f>
        <v>1</v>
      </c>
      <c r="D156" s="7">
        <f>(D155/$B$140)</f>
        <v>0</v>
      </c>
      <c r="E156" s="100">
        <f>SUM(C156:D156)</f>
        <v>1</v>
      </c>
      <c r="F156" s="10"/>
      <c r="G156" s="10"/>
      <c r="H156" s="10"/>
      <c r="I156" s="10"/>
      <c r="J156" s="10"/>
      <c r="K156" s="10"/>
      <c r="L156" s="10"/>
      <c r="M156" s="10"/>
      <c r="N156" s="10"/>
      <c r="O156" s="10"/>
      <c r="P156" s="10"/>
      <c r="Q156" s="10"/>
      <c r="R156" s="10"/>
    </row>
    <row r="157" spans="1:26" x14ac:dyDescent="0.3">
      <c r="A157" s="10"/>
      <c r="B157" s="10"/>
      <c r="C157" s="10"/>
      <c r="D157" s="10"/>
      <c r="E157" s="10"/>
      <c r="F157" s="10"/>
      <c r="G157" s="10"/>
      <c r="H157" s="10"/>
      <c r="I157" s="10"/>
      <c r="J157" s="10"/>
      <c r="K157" s="10"/>
      <c r="L157" s="10"/>
      <c r="M157" s="10"/>
      <c r="N157" s="10"/>
      <c r="O157" s="10"/>
      <c r="P157" s="10"/>
      <c r="Q157" s="10"/>
      <c r="R157" s="10"/>
    </row>
    <row r="158" spans="1:26" x14ac:dyDescent="0.3">
      <c r="A158" s="10"/>
      <c r="B158" s="10"/>
      <c r="C158" s="18" t="s">
        <v>1270</v>
      </c>
      <c r="D158" s="10"/>
      <c r="E158" s="103" t="s">
        <v>3245</v>
      </c>
      <c r="F158" s="10"/>
      <c r="G158" s="10"/>
      <c r="H158" s="10"/>
      <c r="I158" s="10"/>
      <c r="J158" s="10"/>
      <c r="K158" s="10"/>
      <c r="L158" s="10"/>
      <c r="M158" s="10"/>
      <c r="N158" s="10"/>
      <c r="O158" s="10"/>
      <c r="P158" s="10"/>
      <c r="Q158" s="10"/>
      <c r="R158" s="10"/>
    </row>
    <row r="159" spans="1:26" x14ac:dyDescent="0.3">
      <c r="A159" s="10"/>
      <c r="B159" s="10"/>
      <c r="C159" s="3"/>
      <c r="D159" s="11" t="s">
        <v>1271</v>
      </c>
      <c r="E159" s="11" t="s">
        <v>1272</v>
      </c>
      <c r="F159" s="11" t="s">
        <v>1273</v>
      </c>
      <c r="G159" s="11" t="s">
        <v>1274</v>
      </c>
      <c r="H159" s="11" t="s">
        <v>1205</v>
      </c>
      <c r="I159" s="10"/>
      <c r="J159" s="10"/>
      <c r="K159" s="10"/>
      <c r="L159" s="10"/>
      <c r="M159" s="10"/>
      <c r="N159" s="10"/>
      <c r="O159" s="10"/>
      <c r="P159" s="10"/>
      <c r="Q159" s="10"/>
      <c r="R159" s="10"/>
    </row>
    <row r="160" spans="1:26" x14ac:dyDescent="0.3">
      <c r="A160" s="10"/>
      <c r="B160" s="10"/>
      <c r="C160" s="3" t="s">
        <v>1207</v>
      </c>
      <c r="D160" s="4">
        <f>COUNTIF('ZANGBA_Cleaned Data'!GC:GC,"1")</f>
        <v>0</v>
      </c>
      <c r="E160" s="4">
        <f>COUNTIF('ZANGBA_Cleaned Data'!GD:GD,"1")</f>
        <v>0</v>
      </c>
      <c r="F160" s="4">
        <f>COUNTIF('ZANGBA_Cleaned Data'!GE:GE,"1")</f>
        <v>0</v>
      </c>
      <c r="G160" s="4">
        <f>COUNTIF('ZANGBA_Cleaned Data'!GF:GF,"1")</f>
        <v>0</v>
      </c>
      <c r="H160" s="4">
        <f>COUNTIF('ZANGBA_Cleaned Data'!GG:GG,"1")</f>
        <v>0</v>
      </c>
      <c r="I160" s="10"/>
      <c r="J160" s="10"/>
      <c r="K160" s="10"/>
      <c r="L160" s="10"/>
      <c r="M160" s="10"/>
      <c r="N160" s="10"/>
      <c r="O160" s="10"/>
      <c r="P160" s="10"/>
      <c r="Q160" s="10"/>
      <c r="R160" s="10"/>
    </row>
    <row r="161" spans="1:13" s="10" customFormat="1" ht="49" x14ac:dyDescent="0.3">
      <c r="C161" s="53" t="s">
        <v>3256</v>
      </c>
      <c r="D161" s="7" t="e">
        <f>D160/$D$155</f>
        <v>#DIV/0!</v>
      </c>
      <c r="E161" s="7" t="e">
        <f t="shared" ref="E161:H161" si="16">E160/$D$155</f>
        <v>#DIV/0!</v>
      </c>
      <c r="F161" s="7" t="e">
        <f t="shared" si="16"/>
        <v>#DIV/0!</v>
      </c>
      <c r="G161" s="7" t="e">
        <f t="shared" si="16"/>
        <v>#DIV/0!</v>
      </c>
      <c r="H161" s="7" t="e">
        <f t="shared" si="16"/>
        <v>#DIV/0!</v>
      </c>
    </row>
    <row r="162" spans="1:13" s="10" customFormat="1" x14ac:dyDescent="0.3"/>
    <row r="163" spans="1:13" s="10" customFormat="1" x14ac:dyDescent="0.3"/>
    <row r="164" spans="1:13" s="10" customFormat="1" ht="15.5" x14ac:dyDescent="0.35">
      <c r="A164" s="9" t="s">
        <v>1301</v>
      </c>
      <c r="C164" s="103" t="s">
        <v>3245</v>
      </c>
    </row>
    <row r="165" spans="1:13" s="10" customFormat="1" x14ac:dyDescent="0.3"/>
    <row r="166" spans="1:13" s="10" customFormat="1" ht="42" x14ac:dyDescent="0.3">
      <c r="A166" s="8" t="s">
        <v>1928</v>
      </c>
      <c r="B166" s="8" t="s">
        <v>1926</v>
      </c>
      <c r="C166" s="8" t="s">
        <v>1268</v>
      </c>
      <c r="D166" s="8" t="s">
        <v>1269</v>
      </c>
      <c r="E166" s="8" t="s">
        <v>1927</v>
      </c>
      <c r="F166" s="8" t="s">
        <v>1266</v>
      </c>
      <c r="G166" s="8" t="s">
        <v>1267</v>
      </c>
      <c r="H166" s="8" t="s">
        <v>1929</v>
      </c>
      <c r="I166" s="8" t="s">
        <v>1930</v>
      </c>
      <c r="J166" s="8" t="s">
        <v>1931</v>
      </c>
      <c r="K166" s="8" t="s">
        <v>1932</v>
      </c>
      <c r="L166" s="8" t="s">
        <v>1905</v>
      </c>
      <c r="M166" s="8" t="s">
        <v>1220</v>
      </c>
    </row>
    <row r="167" spans="1:13" s="10" customFormat="1" x14ac:dyDescent="0.3">
      <c r="A167" s="24">
        <f>COUNTIF('ZANGBA_Cleaned Data'!GJ:GJ,"1")</f>
        <v>2</v>
      </c>
      <c r="B167" s="24">
        <f>COUNTIF('ZANGBA_Cleaned Data'!GK:GK,"1")</f>
        <v>3</v>
      </c>
      <c r="C167" s="24">
        <f>COUNTIF('ZANGBA_Cleaned Data'!GL:GL,"1")</f>
        <v>3</v>
      </c>
      <c r="D167" s="24">
        <f>COUNTIF('ZANGBA_Cleaned Data'!GM:GM,"1")</f>
        <v>0</v>
      </c>
      <c r="E167" s="24">
        <f>COUNTIF('ZANGBA_Cleaned Data'!GN:GN,"1")</f>
        <v>2</v>
      </c>
      <c r="F167" s="24">
        <f>COUNTIF('ZANGBA_Cleaned Data'!GO:GO,"1")</f>
        <v>0</v>
      </c>
      <c r="G167" s="24">
        <f>COUNTIF('ZANGBA_Cleaned Data'!GP:GP,"1")</f>
        <v>4</v>
      </c>
      <c r="H167" s="24">
        <f>COUNTIF('ZANGBA_Cleaned Data'!GQ:GQ,"1")</f>
        <v>7</v>
      </c>
      <c r="I167" s="24">
        <f>COUNTIF('ZANGBA_Cleaned Data'!GR:GR,"1")</f>
        <v>2</v>
      </c>
      <c r="J167" s="24">
        <f>COUNTIF('ZANGBA_Cleaned Data'!GS:GS,"1")</f>
        <v>0</v>
      </c>
      <c r="K167" s="24">
        <f>COUNTIF('ZANGBA_Cleaned Data'!GT:GT,"1")</f>
        <v>1</v>
      </c>
      <c r="L167" s="24">
        <f>COUNTIF('ZANGBA_Cleaned Data'!GU:GU,"1")</f>
        <v>0</v>
      </c>
      <c r="M167" s="24">
        <f>COUNTIF('ZANGBA_Cleaned Data'!GV:GV,"1")</f>
        <v>0</v>
      </c>
    </row>
    <row r="168" spans="1:13" s="10" customFormat="1" x14ac:dyDescent="0.3"/>
    <row r="169" spans="1:13" s="10" customFormat="1" x14ac:dyDescent="0.3"/>
    <row r="170" spans="1:13" s="10" customFormat="1" x14ac:dyDescent="0.3"/>
    <row r="171" spans="1:13" s="10" customFormat="1" x14ac:dyDescent="0.3"/>
    <row r="172" spans="1:13" s="10" customFormat="1" x14ac:dyDescent="0.3"/>
    <row r="173" spans="1:13" s="10" customFormat="1" x14ac:dyDescent="0.3"/>
    <row r="174" spans="1:13" s="10" customFormat="1" x14ac:dyDescent="0.3"/>
    <row r="175" spans="1:13" s="10" customFormat="1" x14ac:dyDescent="0.3"/>
    <row r="176" spans="1:13"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pans="1:10" s="10" customFormat="1" x14ac:dyDescent="0.3"/>
    <row r="210" spans="1:10" s="10" customFormat="1" x14ac:dyDescent="0.3"/>
    <row r="211" spans="1:10" s="10" customFormat="1" x14ac:dyDescent="0.3"/>
    <row r="212" spans="1:10" s="10" customFormat="1" x14ac:dyDescent="0.3"/>
    <row r="213" spans="1:10" s="10" customFormat="1" x14ac:dyDescent="0.3"/>
    <row r="214" spans="1:10" s="10" customFormat="1" x14ac:dyDescent="0.3"/>
    <row r="215" spans="1:10" s="10" customFormat="1" x14ac:dyDescent="0.3"/>
    <row r="216" spans="1:10" s="10" customFormat="1" x14ac:dyDescent="0.3"/>
    <row r="217" spans="1:10" s="10" customFormat="1" x14ac:dyDescent="0.3"/>
    <row r="218" spans="1:10" s="10" customFormat="1" x14ac:dyDescent="0.3"/>
    <row r="219" spans="1:10" s="10" customFormat="1" x14ac:dyDescent="0.3"/>
    <row r="220" spans="1:10" s="10" customFormat="1" x14ac:dyDescent="0.3"/>
    <row r="221" spans="1:10" s="10" customFormat="1" x14ac:dyDescent="0.3"/>
    <row r="222" spans="1:10" s="10" customFormat="1" x14ac:dyDescent="0.3"/>
    <row r="223" spans="1:10" s="10" customFormat="1" x14ac:dyDescent="0.3">
      <c r="A223" s="1"/>
      <c r="B223" s="1"/>
      <c r="C223" s="1"/>
      <c r="D223" s="1"/>
      <c r="E223" s="1"/>
      <c r="F223" s="1"/>
      <c r="G223" s="1"/>
      <c r="H223" s="1"/>
      <c r="I223" s="1"/>
      <c r="J223" s="1"/>
    </row>
  </sheetData>
  <conditionalFormatting sqref="A132:L132">
    <cfRule type="colorScale" priority="36">
      <colorScale>
        <cfvo type="min"/>
        <cfvo type="max"/>
        <color theme="6" tint="0.79998168889431442"/>
        <color theme="5" tint="0.39997558519241921"/>
      </colorScale>
    </cfRule>
  </conditionalFormatting>
  <conditionalFormatting sqref="A136:L136">
    <cfRule type="colorScale" priority="35">
      <colorScale>
        <cfvo type="min"/>
        <cfvo type="max"/>
        <color theme="6" tint="0.79998168889431442"/>
        <color theme="5" tint="0.39997558519241921"/>
      </colorScale>
    </cfRule>
  </conditionalFormatting>
  <conditionalFormatting sqref="C150:O150">
    <cfRule type="colorScale" priority="34">
      <colorScale>
        <cfvo type="min"/>
        <cfvo type="max"/>
        <color theme="6" tint="0.79998168889431442"/>
        <color theme="5" tint="0.39997558519241921"/>
      </colorScale>
    </cfRule>
  </conditionalFormatting>
  <conditionalFormatting sqref="D160:H160">
    <cfRule type="colorScale" priority="33">
      <colorScale>
        <cfvo type="min"/>
        <cfvo type="max"/>
        <color theme="6" tint="0.79998168889431442"/>
        <color theme="5" tint="0.39997558519241921"/>
      </colorScale>
    </cfRule>
  </conditionalFormatting>
  <conditionalFormatting sqref="A167:M167">
    <cfRule type="colorScale" priority="32">
      <colorScale>
        <cfvo type="min"/>
        <cfvo type="max"/>
        <color theme="6" tint="0.79998168889431442"/>
        <color theme="5" tint="0.39997558519241921"/>
      </colorScale>
    </cfRule>
  </conditionalFormatting>
  <conditionalFormatting sqref="B53:H53 A60:F60 D61:F61">
    <cfRule type="colorScale" priority="31">
      <colorScale>
        <cfvo type="min"/>
        <cfvo type="max"/>
        <color theme="6" tint="0.79998168889431442"/>
        <color theme="5" tint="0.39997558519241921"/>
      </colorScale>
    </cfRule>
  </conditionalFormatting>
  <conditionalFormatting sqref="B68:C68">
    <cfRule type="colorScale" priority="30">
      <colorScale>
        <cfvo type="min"/>
        <cfvo type="max"/>
        <color theme="6" tint="0.79998168889431442"/>
        <color theme="5" tint="0.39997558519241921"/>
      </colorScale>
    </cfRule>
  </conditionalFormatting>
  <conditionalFormatting sqref="C78:J78">
    <cfRule type="colorScale" priority="29">
      <colorScale>
        <cfvo type="min"/>
        <cfvo type="max"/>
        <color theme="6" tint="0.79998168889431442"/>
        <color theme="5" tint="0.39997558519241921"/>
      </colorScale>
    </cfRule>
  </conditionalFormatting>
  <conditionalFormatting sqref="B38:L38">
    <cfRule type="colorScale" priority="28">
      <colorScale>
        <cfvo type="min"/>
        <cfvo type="max"/>
        <color theme="6" tint="0.79998168889431442"/>
        <color theme="5" tint="0.39997558519241921"/>
      </colorScale>
    </cfRule>
  </conditionalFormatting>
  <conditionalFormatting sqref="B13:C13">
    <cfRule type="colorScale" priority="27">
      <colorScale>
        <cfvo type="min"/>
        <cfvo type="max"/>
        <color theme="6" tint="0.79998168889431442"/>
        <color theme="5" tint="0.39997558519241921"/>
      </colorScale>
    </cfRule>
  </conditionalFormatting>
  <conditionalFormatting sqref="B7:G7">
    <cfRule type="colorScale" priority="26">
      <colorScale>
        <cfvo type="min"/>
        <cfvo type="max"/>
        <color theme="6" tint="0.79998168889431442"/>
        <color theme="5" tint="0.39997558519241921"/>
      </colorScale>
    </cfRule>
  </conditionalFormatting>
  <conditionalFormatting sqref="B90:D90">
    <cfRule type="colorScale" priority="25">
      <colorScale>
        <cfvo type="min"/>
        <cfvo type="max"/>
        <color theme="6" tint="0.79998168889431442"/>
        <color theme="5" tint="0.39997558519241921"/>
      </colorScale>
    </cfRule>
  </conditionalFormatting>
  <conditionalFormatting sqref="D13">
    <cfRule type="colorScale" priority="24">
      <colorScale>
        <cfvo type="min"/>
        <cfvo type="max"/>
        <color theme="6" tint="0.79998168889431442"/>
        <color theme="5" tint="0.39997558519241921"/>
      </colorScale>
    </cfRule>
  </conditionalFormatting>
  <conditionalFormatting sqref="D18:F18">
    <cfRule type="colorScale" priority="23">
      <colorScale>
        <cfvo type="min"/>
        <cfvo type="max"/>
        <color theme="6" tint="0.79998168889431442"/>
        <color theme="5" tint="0.39997558519241921"/>
      </colorScale>
    </cfRule>
  </conditionalFormatting>
  <conditionalFormatting sqref="B58:F58">
    <cfRule type="colorScale" priority="22">
      <colorScale>
        <cfvo type="min"/>
        <cfvo type="max"/>
        <color theme="6" tint="0.79998168889431442"/>
        <color theme="5" tint="0.39997558519241921"/>
      </colorScale>
    </cfRule>
  </conditionalFormatting>
  <conditionalFormatting sqref="A44:A45">
    <cfRule type="duplicateValues" dxfId="2" priority="21"/>
  </conditionalFormatting>
  <conditionalFormatting sqref="A52:A53">
    <cfRule type="duplicateValues" dxfId="1" priority="20"/>
  </conditionalFormatting>
  <conditionalFormatting sqref="B45:E45">
    <cfRule type="colorScale" priority="19">
      <colorScale>
        <cfvo type="min"/>
        <cfvo type="max"/>
        <color theme="6" tint="0.79998168889431442"/>
        <color theme="5" tint="0.39997558519241921"/>
      </colorScale>
    </cfRule>
  </conditionalFormatting>
  <conditionalFormatting sqref="C83:I83">
    <cfRule type="colorScale" priority="18">
      <colorScale>
        <cfvo type="min"/>
        <cfvo type="max"/>
        <color theme="6" tint="0.79998168889431442"/>
        <color theme="5" tint="0.39997558519241921"/>
      </colorScale>
    </cfRule>
  </conditionalFormatting>
  <conditionalFormatting sqref="A37:A38">
    <cfRule type="duplicateValues" dxfId="0" priority="17"/>
  </conditionalFormatting>
  <conditionalFormatting sqref="B95:C95">
    <cfRule type="colorScale" priority="16">
      <colorScale>
        <cfvo type="min"/>
        <cfvo type="max"/>
        <color theme="6" tint="0.79998168889431442"/>
        <color theme="5" tint="0.39997558519241921"/>
      </colorScale>
    </cfRule>
  </conditionalFormatting>
  <conditionalFormatting sqref="C103:D103">
    <cfRule type="colorScale" priority="15">
      <colorScale>
        <cfvo type="min"/>
        <cfvo type="max"/>
        <color theme="6" tint="0.79998168889431442"/>
        <color theme="5" tint="0.39997558519241921"/>
      </colorScale>
    </cfRule>
  </conditionalFormatting>
  <conditionalFormatting sqref="C108:F108">
    <cfRule type="colorScale" priority="14">
      <colorScale>
        <cfvo type="min"/>
        <cfvo type="max"/>
        <color theme="6" tint="0.79998168889431442"/>
        <color theme="5" tint="0.39997558519241921"/>
      </colorScale>
    </cfRule>
  </conditionalFormatting>
  <conditionalFormatting sqref="B117:I117">
    <cfRule type="colorScale" priority="13">
      <colorScale>
        <cfvo type="min"/>
        <cfvo type="max"/>
        <color theme="6" tint="0.79998168889431442"/>
        <color theme="5" tint="0.39997558519241921"/>
      </colorScale>
    </cfRule>
  </conditionalFormatting>
  <conditionalFormatting sqref="B122:D122">
    <cfRule type="colorScale" priority="12">
      <colorScale>
        <cfvo type="min"/>
        <cfvo type="max"/>
        <color theme="6" tint="0.79998168889431442"/>
        <color theme="5" tint="0.39997558519241921"/>
      </colorScale>
    </cfRule>
  </conditionalFormatting>
  <conditionalFormatting sqref="B140:C140">
    <cfRule type="colorScale" priority="11">
      <colorScale>
        <cfvo type="min"/>
        <cfvo type="max"/>
        <color theme="6" tint="0.79998168889431442"/>
        <color theme="5" tint="0.39997558519241921"/>
      </colorScale>
    </cfRule>
  </conditionalFormatting>
  <conditionalFormatting sqref="C145:I145">
    <cfRule type="colorScale" priority="10">
      <colorScale>
        <cfvo type="min"/>
        <cfvo type="max"/>
        <color theme="6" tint="0.79998168889431442"/>
        <color theme="5" tint="0.39997558519241921"/>
      </colorScale>
    </cfRule>
  </conditionalFormatting>
  <conditionalFormatting sqref="C155:D155">
    <cfRule type="colorScale" priority="9">
      <colorScale>
        <cfvo type="min"/>
        <cfvo type="max"/>
        <color theme="6" tint="0.79998168889431442"/>
        <color theme="5" tint="0.39997558519241921"/>
      </colorScale>
    </cfRule>
  </conditionalFormatting>
  <conditionalFormatting sqref="D23:H23">
    <cfRule type="colorScale" priority="8">
      <colorScale>
        <cfvo type="min"/>
        <cfvo type="max"/>
        <color theme="6" tint="0.79998168889431442"/>
        <color theme="5" tint="0.39997558519241921"/>
      </colorScale>
    </cfRule>
  </conditionalFormatting>
  <conditionalFormatting sqref="D28:I28">
    <cfRule type="colorScale" priority="7">
      <colorScale>
        <cfvo type="min"/>
        <cfvo type="max"/>
        <color theme="6" tint="0.79998168889431442"/>
        <color theme="5" tint="0.39997558519241921"/>
      </colorScale>
    </cfRule>
  </conditionalFormatting>
  <conditionalFormatting sqref="C73:F73">
    <cfRule type="colorScale" priority="6">
      <colorScale>
        <cfvo type="min"/>
        <cfvo type="max"/>
        <color theme="6" tint="0.79998168889431442"/>
        <color theme="5" tint="0.39997558519241921"/>
      </colorScale>
    </cfRule>
  </conditionalFormatting>
  <conditionalFormatting sqref="D33:H33">
    <cfRule type="colorScale" priority="5">
      <colorScale>
        <cfvo type="min"/>
        <cfvo type="max"/>
        <color theme="6" tint="0.79998168889431442"/>
        <color theme="5" tint="0.39997558519241921"/>
      </colorScale>
    </cfRule>
  </conditionalFormatting>
  <conditionalFormatting sqref="H7">
    <cfRule type="colorScale" priority="4">
      <colorScale>
        <cfvo type="min"/>
        <cfvo type="max"/>
        <color theme="6" tint="0.79998168889431442"/>
        <color theme="5" tint="0.39997558519241921"/>
      </colorScale>
    </cfRule>
  </conditionalFormatting>
  <conditionalFormatting sqref="B63:H63">
    <cfRule type="colorScale" priority="3">
      <colorScale>
        <cfvo type="min"/>
        <cfvo type="max"/>
        <color theme="6" tint="0.79998168889431442"/>
        <color theme="5" tint="0.39997558519241921"/>
      </colorScale>
    </cfRule>
  </conditionalFormatting>
  <conditionalFormatting sqref="B127:F127">
    <cfRule type="colorScale" priority="2">
      <colorScale>
        <cfvo type="min"/>
        <cfvo type="max"/>
        <color theme="6" tint="0.79998168889431442"/>
        <color theme="5" tint="0.39997558519241921"/>
      </colorScale>
    </cfRule>
  </conditionalFormatting>
  <conditionalFormatting sqref="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Z304"/>
  <sheetViews>
    <sheetView zoomScale="90" zoomScaleNormal="90" workbookViewId="0">
      <selection activeCell="J155" sqref="J155"/>
    </sheetView>
  </sheetViews>
  <sheetFormatPr defaultColWidth="8.81640625" defaultRowHeight="14" x14ac:dyDescent="0.3"/>
  <cols>
    <col min="1" max="1" width="10.6328125" style="10" customWidth="1"/>
    <col min="2" max="2" width="16.453125" style="10" customWidth="1"/>
    <col min="3" max="3" width="12.90625" style="10" customWidth="1"/>
    <col min="4" max="4" width="12.36328125" style="10" customWidth="1"/>
    <col min="5" max="5" width="12.6328125" style="10" customWidth="1"/>
    <col min="6" max="7" width="13.81640625" style="10" customWidth="1"/>
    <col min="8" max="8" width="18.90625" style="10" customWidth="1"/>
    <col min="9" max="9" width="11.7265625" style="10" customWidth="1"/>
    <col min="10" max="10" width="12.453125" style="10" customWidth="1"/>
    <col min="11" max="11" width="12.36328125" style="10" customWidth="1"/>
    <col min="12" max="12" width="15" style="10" customWidth="1"/>
    <col min="13" max="16384" width="8.81640625" style="10"/>
  </cols>
  <sheetData>
    <row r="2" spans="1:13" ht="15.5" x14ac:dyDescent="0.35">
      <c r="A2" s="9" t="s">
        <v>1294</v>
      </c>
    </row>
    <row r="3" spans="1:13" ht="15.5" x14ac:dyDescent="0.35">
      <c r="A3" s="29" t="s">
        <v>1408</v>
      </c>
      <c r="B3" s="83"/>
      <c r="C3" s="84" t="str">
        <f>IF(COUNTIF('ZANGBA_Cleaned Data'!OK:OK,"hopital_district")=1,"OUI","NON")</f>
        <v>NON</v>
      </c>
    </row>
    <row r="4" spans="1:13" ht="34" customHeight="1" x14ac:dyDescent="0.3">
      <c r="A4" s="155" t="s">
        <v>3318</v>
      </c>
      <c r="B4" s="155"/>
      <c r="C4" s="73">
        <f>COUNTIFS('ZANGBA_Cleaned Data'!N:N,"sante",'ZANGBA_Cleaned Data'!J:J,"ZANGBA")</f>
        <v>2</v>
      </c>
    </row>
    <row r="6" spans="1:13" ht="15.5" x14ac:dyDescent="0.35">
      <c r="A6" s="9" t="s">
        <v>1285</v>
      </c>
    </row>
    <row r="7" spans="1:13" ht="15.5" x14ac:dyDescent="0.35">
      <c r="A7" s="29" t="s">
        <v>3291</v>
      </c>
    </row>
    <row r="8" spans="1:13" ht="42" x14ac:dyDescent="0.3">
      <c r="A8" s="3"/>
      <c r="B8" s="8" t="s">
        <v>1210</v>
      </c>
      <c r="C8" s="8" t="s">
        <v>1209</v>
      </c>
      <c r="D8" s="8" t="s">
        <v>1411</v>
      </c>
      <c r="E8" s="125" t="s">
        <v>3292</v>
      </c>
    </row>
    <row r="9" spans="1:13" x14ac:dyDescent="0.3">
      <c r="A9" s="3" t="s">
        <v>1207</v>
      </c>
      <c r="B9" s="24">
        <f>COUNTIF('ZANGBA_Cleaned Data'!ON:ON,"oui")</f>
        <v>2</v>
      </c>
      <c r="C9" s="24">
        <f>COUNTIF('ZANGBA_Cleaned Data'!ON:ON,"non")</f>
        <v>0</v>
      </c>
      <c r="D9" s="24">
        <f>COUNTIF('ZANGBA_Cleaned Data'!ON:ON,"partiel")</f>
        <v>0</v>
      </c>
      <c r="E9" s="52">
        <f>SUM(B9+D9)</f>
        <v>2</v>
      </c>
    </row>
    <row r="10" spans="1:13" ht="37.5" x14ac:dyDescent="0.3">
      <c r="A10" s="53" t="s">
        <v>3288</v>
      </c>
      <c r="B10" s="7">
        <f>(B9/$C$4)</f>
        <v>1</v>
      </c>
      <c r="C10" s="7">
        <f>(C9/$C$4)</f>
        <v>0</v>
      </c>
      <c r="D10" s="7">
        <f>(D9/$C$4)</f>
        <v>0</v>
      </c>
      <c r="E10" s="113">
        <f>SUM(B10+D10)</f>
        <v>1</v>
      </c>
    </row>
    <row r="11" spans="1:13" x14ac:dyDescent="0.3">
      <c r="A11" s="14"/>
      <c r="B11" s="15"/>
      <c r="C11" s="15"/>
      <c r="D11" s="15"/>
    </row>
    <row r="12" spans="1:13" x14ac:dyDescent="0.3">
      <c r="B12" s="18" t="s">
        <v>1952</v>
      </c>
      <c r="D12" s="103" t="s">
        <v>3245</v>
      </c>
    </row>
    <row r="13" spans="1:13" s="36" customFormat="1" ht="77.5" customHeight="1" x14ac:dyDescent="0.3">
      <c r="B13" s="3"/>
      <c r="C13" s="6" t="s">
        <v>2033</v>
      </c>
      <c r="D13" s="6" t="s">
        <v>1938</v>
      </c>
      <c r="E13" s="6" t="s">
        <v>2034</v>
      </c>
      <c r="F13" s="6" t="s">
        <v>1939</v>
      </c>
      <c r="G13" s="6" t="s">
        <v>1940</v>
      </c>
      <c r="H13" s="6" t="s">
        <v>2035</v>
      </c>
      <c r="I13" s="6" t="s">
        <v>2036</v>
      </c>
      <c r="J13" s="6" t="s">
        <v>1942</v>
      </c>
      <c r="K13" s="6" t="s">
        <v>1943</v>
      </c>
      <c r="L13" s="6" t="s">
        <v>1905</v>
      </c>
      <c r="M13" s="6" t="s">
        <v>1220</v>
      </c>
    </row>
    <row r="14" spans="1:13" x14ac:dyDescent="0.3">
      <c r="B14" s="3" t="s">
        <v>1207</v>
      </c>
      <c r="C14" s="3">
        <f>COUNTIF('ZANGBA_Cleaned Data'!OS:OS,"1")</f>
        <v>0</v>
      </c>
      <c r="D14" s="3">
        <f>COUNTIF('ZANGBA_Cleaned Data'!OT:OT,"1")</f>
        <v>0</v>
      </c>
      <c r="E14" s="3">
        <f>COUNTIF('ZANGBA_Cleaned Data'!PE:PE,"1")</f>
        <v>0</v>
      </c>
      <c r="F14" s="3">
        <f>COUNTIF('ZANGBA_Cleaned Data'!PF:PF,"1")</f>
        <v>0</v>
      </c>
      <c r="G14" s="3">
        <f>COUNTIF('ZANGBA_Cleaned Data'!PG:PG,"1")</f>
        <v>0</v>
      </c>
      <c r="H14" s="3">
        <f>COUNTIF('ZANGBA_Cleaned Data'!OW:OW,"1")</f>
        <v>0</v>
      </c>
      <c r="I14" s="3">
        <f>COUNTIF('ZANGBA_Cleaned Data'!PH:PH,"1")</f>
        <v>0</v>
      </c>
      <c r="J14" s="3">
        <f>COUNTIF('ZANGBA_Cleaned Data'!PB:PB,"1")</f>
        <v>0</v>
      </c>
      <c r="K14" s="3">
        <f>COUNTIF('ZANGBA_Cleaned Data'!PI:PI,"1")</f>
        <v>0</v>
      </c>
      <c r="L14" s="3">
        <f>COUNTIF('ZANGBA_Cleaned Data'!PC:PC,"1")</f>
        <v>0</v>
      </c>
      <c r="M14" s="3">
        <f>COUNTIF('ZANGBA_Cleaned Data'!PD:PD,"1")</f>
        <v>0</v>
      </c>
    </row>
    <row r="15" spans="1:13" ht="37.5" x14ac:dyDescent="0.3">
      <c r="B15" s="53" t="s">
        <v>3289</v>
      </c>
      <c r="C15" s="7" t="e">
        <f>C14/$C$9</f>
        <v>#DIV/0!</v>
      </c>
      <c r="D15" s="7" t="e">
        <f t="shared" ref="D15:M15" si="0">D14/$C$9</f>
        <v>#DIV/0!</v>
      </c>
      <c r="E15" s="7" t="e">
        <f t="shared" si="0"/>
        <v>#DIV/0!</v>
      </c>
      <c r="F15" s="7" t="e">
        <f t="shared" si="0"/>
        <v>#DIV/0!</v>
      </c>
      <c r="G15" s="7" t="e">
        <f t="shared" si="0"/>
        <v>#DIV/0!</v>
      </c>
      <c r="H15" s="7" t="e">
        <f t="shared" si="0"/>
        <v>#DIV/0!</v>
      </c>
      <c r="I15" s="7" t="e">
        <f t="shared" si="0"/>
        <v>#DIV/0!</v>
      </c>
      <c r="J15" s="7" t="e">
        <f t="shared" si="0"/>
        <v>#DIV/0!</v>
      </c>
      <c r="K15" s="7" t="e">
        <f t="shared" si="0"/>
        <v>#DIV/0!</v>
      </c>
      <c r="L15" s="7" t="e">
        <f t="shared" si="0"/>
        <v>#DIV/0!</v>
      </c>
      <c r="M15" s="7" t="e">
        <f t="shared" si="0"/>
        <v>#DIV/0!</v>
      </c>
    </row>
    <row r="17" spans="1:26" s="1" customFormat="1" x14ac:dyDescent="0.3">
      <c r="A17" s="10"/>
      <c r="B17" s="17" t="s">
        <v>1951</v>
      </c>
      <c r="C17" s="14"/>
      <c r="D17" s="10"/>
      <c r="E17" s="10"/>
      <c r="F17" s="10"/>
      <c r="G17" s="10"/>
      <c r="I17" s="10"/>
      <c r="J17" s="10"/>
      <c r="K17" s="74" t="s">
        <v>3293</v>
      </c>
      <c r="L17" s="10"/>
      <c r="M17" s="10"/>
      <c r="N17" s="10"/>
      <c r="O17" s="10"/>
      <c r="P17" s="10"/>
      <c r="Q17" s="10"/>
      <c r="R17" s="10"/>
      <c r="S17" s="10"/>
      <c r="T17" s="10"/>
      <c r="U17" s="10"/>
      <c r="V17" s="10"/>
      <c r="W17" s="10"/>
      <c r="X17" s="10"/>
      <c r="Y17" s="10"/>
      <c r="Z17" s="10"/>
    </row>
    <row r="18" spans="1:26" s="1" customFormat="1" ht="28" x14ac:dyDescent="0.3">
      <c r="A18" s="10"/>
      <c r="B18" s="3"/>
      <c r="C18" s="6" t="s">
        <v>1861</v>
      </c>
      <c r="D18" s="6" t="s">
        <v>1862</v>
      </c>
      <c r="E18" s="6" t="s">
        <v>1863</v>
      </c>
      <c r="F18" s="6" t="s">
        <v>1864</v>
      </c>
      <c r="G18" s="6" t="s">
        <v>1905</v>
      </c>
      <c r="H18" s="110" t="s">
        <v>1206</v>
      </c>
      <c r="I18" s="10"/>
      <c r="J18" s="10"/>
      <c r="K18" s="10"/>
      <c r="L18" s="10"/>
      <c r="M18" s="10"/>
      <c r="N18" s="10"/>
      <c r="O18" s="10"/>
      <c r="P18" s="10"/>
      <c r="Q18" s="10"/>
      <c r="R18" s="10"/>
      <c r="S18" s="10"/>
      <c r="T18" s="10"/>
      <c r="U18" s="10"/>
      <c r="V18" s="10"/>
      <c r="W18" s="10"/>
      <c r="X18" s="10"/>
      <c r="Y18" s="10"/>
      <c r="Z18" s="10"/>
    </row>
    <row r="19" spans="1:26" s="1" customFormat="1" ht="14.5" customHeight="1" x14ac:dyDescent="0.3">
      <c r="A19" s="10"/>
      <c r="B19" s="3" t="s">
        <v>1207</v>
      </c>
      <c r="C19" s="3">
        <f>COUNTIF('ZANGBA_Cleaned Data'!PK:PK,"moins_six_mois")</f>
        <v>0</v>
      </c>
      <c r="D19" s="3">
        <f>COUNTIF('ZANGBA_Cleaned Data'!PK:PK,"six_mois_un_an ")</f>
        <v>0</v>
      </c>
      <c r="E19" s="3">
        <f>COUNTIF('ZANGBA_Cleaned Data'!PK:PK,"un_an_trois_ans")</f>
        <v>0</v>
      </c>
      <c r="F19" s="3">
        <f>COUNTIF('ZANGBA_Cleaned Data'!PK:PK,"plus_trois_ans")</f>
        <v>0</v>
      </c>
      <c r="G19" s="3">
        <f>COUNTIF('ZANGBA_Cleaned Data'!PK:PK,"nsp")</f>
        <v>0</v>
      </c>
      <c r="H19" s="111">
        <f>SUM(C19:G19)</f>
        <v>0</v>
      </c>
      <c r="I19" s="10"/>
      <c r="J19" s="10"/>
      <c r="K19" s="10"/>
      <c r="L19" s="10"/>
      <c r="M19" s="10"/>
      <c r="N19" s="10"/>
      <c r="O19" s="10"/>
      <c r="P19" s="10"/>
      <c r="Q19" s="10"/>
      <c r="R19" s="10"/>
      <c r="S19" s="10"/>
      <c r="T19" s="10"/>
      <c r="U19" s="10"/>
      <c r="V19" s="10"/>
      <c r="W19" s="10"/>
      <c r="X19" s="10"/>
      <c r="Y19" s="10"/>
      <c r="Z19" s="10"/>
    </row>
    <row r="20" spans="1:26" ht="37.5" x14ac:dyDescent="0.3">
      <c r="B20" s="53" t="s">
        <v>3289</v>
      </c>
      <c r="C20" s="7" t="e">
        <f>C19/$C$23</f>
        <v>#VALUE!</v>
      </c>
      <c r="D20" s="7" t="e">
        <f>D19/$C$23</f>
        <v>#VALUE!</v>
      </c>
      <c r="E20" s="7" t="e">
        <f>E19/$C$23</f>
        <v>#VALUE!</v>
      </c>
      <c r="F20" s="7" t="e">
        <f>F19/$C$23</f>
        <v>#VALUE!</v>
      </c>
      <c r="G20" s="7" t="e">
        <f>G19/$C$23</f>
        <v>#VALUE!</v>
      </c>
      <c r="H20" s="116" t="e">
        <f>SUM(C20:G20)</f>
        <v>#VALUE!</v>
      </c>
    </row>
    <row r="21" spans="1:26" x14ac:dyDescent="0.3">
      <c r="A21" s="14"/>
      <c r="B21" s="15"/>
      <c r="C21" s="15"/>
      <c r="D21" s="15"/>
      <c r="E21" s="26"/>
    </row>
    <row r="22" spans="1:26" x14ac:dyDescent="0.3">
      <c r="B22" s="18" t="s">
        <v>1953</v>
      </c>
      <c r="E22" s="103" t="s">
        <v>3245</v>
      </c>
    </row>
    <row r="23" spans="1:26" ht="77.5" customHeight="1" x14ac:dyDescent="0.3">
      <c r="B23" s="24"/>
      <c r="C23" s="6" t="s">
        <v>1944</v>
      </c>
      <c r="D23" s="6" t="s">
        <v>2037</v>
      </c>
      <c r="E23" s="6" t="s">
        <v>2038</v>
      </c>
      <c r="F23" s="6" t="s">
        <v>2039</v>
      </c>
      <c r="G23" s="6" t="s">
        <v>2040</v>
      </c>
      <c r="H23" s="6" t="s">
        <v>2041</v>
      </c>
      <c r="I23" s="6" t="s">
        <v>2042</v>
      </c>
      <c r="J23" s="6" t="s">
        <v>2043</v>
      </c>
      <c r="K23" s="6" t="s">
        <v>1905</v>
      </c>
      <c r="L23" s="6" t="s">
        <v>1220</v>
      </c>
    </row>
    <row r="24" spans="1:26" x14ac:dyDescent="0.3">
      <c r="B24" s="24" t="s">
        <v>1207</v>
      </c>
      <c r="C24" s="24">
        <f>COUNTIF('ZANGBA_Cleaned Data'!OO:OO,"infra_endommagee")</f>
        <v>0</v>
      </c>
      <c r="D24" s="24">
        <f>COUNTIF('ZANGBA_Cleaned Data'!OO:OO,"manque_mobilier")</f>
        <v>0</v>
      </c>
      <c r="E24" s="24">
        <f>COUNTIF('ZANGBA_Cleaned Data'!OO:OO,"faibles_capacites_accueil")</f>
        <v>0</v>
      </c>
      <c r="F24" s="24">
        <f>COUNTIF('ZANGBA_Cleaned Data'!OO:OO,"pbs_appro_eau_elec")</f>
        <v>0</v>
      </c>
      <c r="G24" s="24">
        <f>COUNTIF('ZANGBA_Cleaned Data'!OO:OO,"pbs_fin_fonctionnement ")</f>
        <v>0</v>
      </c>
      <c r="H24" s="24">
        <f>COUNTIF('ZANGBA_Cleaned Data'!OO:OO,"pbs_fin_fonctionnement_maintenance")</f>
        <v>0</v>
      </c>
      <c r="I24" s="24">
        <f>COUNTIF('ZANGBA_Cleaned Data'!OO:OO,"pbs_appro_medicaments")</f>
        <v>0</v>
      </c>
      <c r="J24" s="24">
        <f>COUNTIF('ZANGBA_Cleaned Data'!OO:OO,"pbs_personnels_qualifies")</f>
        <v>0</v>
      </c>
      <c r="K24" s="24">
        <f>COUNTIF('ZANGBA_Cleaned Data'!OO:OO,"nsp")</f>
        <v>0</v>
      </c>
      <c r="L24" s="24">
        <f>COUNTIF('ZANGBA_Cleaned Data'!OO:OO,"autre")</f>
        <v>0</v>
      </c>
    </row>
    <row r="25" spans="1:26" x14ac:dyDescent="0.3">
      <c r="B25" s="24" t="s">
        <v>1208</v>
      </c>
      <c r="C25" s="39" t="e">
        <f>C24/$D$23</f>
        <v>#VALUE!</v>
      </c>
      <c r="D25" s="39" t="e">
        <f t="shared" ref="D25:L25" si="1">D24/$D$23</f>
        <v>#VALUE!</v>
      </c>
      <c r="E25" s="39" t="e">
        <f t="shared" si="1"/>
        <v>#VALUE!</v>
      </c>
      <c r="F25" s="39" t="e">
        <f t="shared" si="1"/>
        <v>#VALUE!</v>
      </c>
      <c r="G25" s="39" t="e">
        <f t="shared" si="1"/>
        <v>#VALUE!</v>
      </c>
      <c r="H25" s="39" t="e">
        <f t="shared" si="1"/>
        <v>#VALUE!</v>
      </c>
      <c r="I25" s="39" t="e">
        <f t="shared" si="1"/>
        <v>#VALUE!</v>
      </c>
      <c r="J25" s="39" t="e">
        <f t="shared" si="1"/>
        <v>#VALUE!</v>
      </c>
      <c r="K25" s="39" t="e">
        <f t="shared" si="1"/>
        <v>#VALUE!</v>
      </c>
      <c r="L25" s="39" t="e">
        <f t="shared" si="1"/>
        <v>#VALUE!</v>
      </c>
    </row>
    <row r="26" spans="1:26" x14ac:dyDescent="0.3">
      <c r="B26" s="14"/>
    </row>
    <row r="27" spans="1:26" s="1" customFormat="1" x14ac:dyDescent="0.3">
      <c r="A27" s="10"/>
      <c r="B27" s="17" t="s">
        <v>1950</v>
      </c>
      <c r="D27" s="14"/>
      <c r="E27" s="10"/>
      <c r="F27" s="10"/>
      <c r="G27" s="10"/>
      <c r="H27" s="10"/>
      <c r="I27" s="10"/>
      <c r="J27" s="10"/>
      <c r="K27" s="10"/>
      <c r="L27" s="10"/>
      <c r="M27" s="10"/>
      <c r="N27" s="10"/>
      <c r="O27" s="10"/>
      <c r="P27" s="10"/>
      <c r="Q27" s="10"/>
      <c r="R27" s="10"/>
      <c r="S27" s="10"/>
      <c r="T27" s="10"/>
      <c r="U27" s="10"/>
      <c r="V27" s="10"/>
      <c r="W27" s="10"/>
      <c r="X27" s="10"/>
      <c r="Y27" s="10"/>
      <c r="Z27" s="10"/>
    </row>
    <row r="28" spans="1:26" s="1" customFormat="1" ht="28" x14ac:dyDescent="0.3">
      <c r="A28" s="10"/>
      <c r="B28" s="3"/>
      <c r="C28" s="6" t="s">
        <v>1861</v>
      </c>
      <c r="D28" s="6" t="s">
        <v>1862</v>
      </c>
      <c r="E28" s="6" t="s">
        <v>1863</v>
      </c>
      <c r="F28" s="6" t="s">
        <v>1864</v>
      </c>
      <c r="G28" s="6" t="s">
        <v>1905</v>
      </c>
      <c r="H28" s="110" t="s">
        <v>1206</v>
      </c>
      <c r="I28" s="10"/>
      <c r="J28" s="10"/>
      <c r="K28" s="10"/>
      <c r="L28" s="10"/>
      <c r="M28" s="10"/>
      <c r="N28" s="10"/>
      <c r="O28" s="10"/>
      <c r="P28" s="10"/>
      <c r="Q28" s="10"/>
      <c r="R28" s="10"/>
      <c r="S28" s="10"/>
      <c r="T28" s="10"/>
      <c r="U28" s="10"/>
      <c r="V28" s="10"/>
      <c r="W28" s="10"/>
      <c r="X28" s="10"/>
      <c r="Y28" s="10"/>
      <c r="Z28" s="10"/>
    </row>
    <row r="29" spans="1:26" s="1" customFormat="1" x14ac:dyDescent="0.3">
      <c r="A29" s="10"/>
      <c r="B29" s="3" t="s">
        <v>1207</v>
      </c>
      <c r="C29" s="3">
        <f>COUNTIF('ZANGBA_Cleaned Data'!OQ:OQ,"moins_six_mois")</f>
        <v>0</v>
      </c>
      <c r="D29" s="3">
        <f>COUNTIF('ZANGBA_Cleaned Data'!OQ:OQ,"six_mois_un_an ")</f>
        <v>0</v>
      </c>
      <c r="E29" s="3">
        <f>COUNTIF('ZANGBA_Cleaned Data'!OQ:OQ,"un_an_trois_ans")</f>
        <v>0</v>
      </c>
      <c r="F29" s="3">
        <f>COUNTIF('ZANGBA_Cleaned Data'!OQ:OQ,"plus_trois_ans")</f>
        <v>0</v>
      </c>
      <c r="G29" s="3">
        <f>COUNTIF('ZANGBA_Cleaned Data'!OQ:OQ,"nsp")</f>
        <v>0</v>
      </c>
      <c r="H29" s="111">
        <f>SUM(C29:G29)</f>
        <v>0</v>
      </c>
      <c r="I29" s="10"/>
      <c r="J29" s="10"/>
      <c r="K29" s="10"/>
      <c r="L29" s="10"/>
      <c r="M29" s="10"/>
      <c r="N29" s="10"/>
      <c r="O29" s="10"/>
      <c r="P29" s="10"/>
      <c r="Q29" s="10"/>
      <c r="R29" s="10"/>
      <c r="S29" s="10"/>
      <c r="T29" s="10"/>
      <c r="U29" s="10"/>
      <c r="V29" s="10"/>
      <c r="W29" s="10"/>
      <c r="X29" s="10"/>
      <c r="Y29" s="10"/>
      <c r="Z29" s="10"/>
    </row>
    <row r="30" spans="1:26" s="1" customFormat="1" ht="14.5" customHeight="1" x14ac:dyDescent="0.3">
      <c r="A30" s="10"/>
      <c r="B30" s="3" t="s">
        <v>1208</v>
      </c>
      <c r="C30" s="7" t="e">
        <f>C29/$D$9</f>
        <v>#DIV/0!</v>
      </c>
      <c r="D30" s="7" t="e">
        <f t="shared" ref="D30:G30" si="2">D29/$D$9</f>
        <v>#DIV/0!</v>
      </c>
      <c r="E30" s="7" t="e">
        <f t="shared" si="2"/>
        <v>#DIV/0!</v>
      </c>
      <c r="F30" s="7" t="e">
        <f t="shared" si="2"/>
        <v>#DIV/0!</v>
      </c>
      <c r="G30" s="7" t="e">
        <f t="shared" si="2"/>
        <v>#DIV/0!</v>
      </c>
      <c r="H30" s="116" t="e">
        <f>SUM(C30:G30)</f>
        <v>#DIV/0!</v>
      </c>
      <c r="I30" s="10"/>
      <c r="J30" s="10"/>
      <c r="K30" s="10"/>
      <c r="L30" s="10"/>
      <c r="M30" s="10"/>
      <c r="N30" s="10"/>
      <c r="O30" s="10"/>
      <c r="P30" s="10"/>
      <c r="Q30" s="10"/>
      <c r="R30" s="10"/>
      <c r="S30" s="10"/>
      <c r="T30" s="10"/>
      <c r="U30" s="10"/>
      <c r="V30" s="10"/>
      <c r="W30" s="10"/>
      <c r="X30" s="10"/>
      <c r="Y30" s="10"/>
      <c r="Z30" s="10"/>
    </row>
    <row r="31" spans="1:26" ht="14.5" customHeight="1" x14ac:dyDescent="0.3">
      <c r="B31" s="14"/>
      <c r="C31" s="15"/>
      <c r="D31" s="15"/>
      <c r="E31" s="15"/>
      <c r="F31" s="15"/>
      <c r="G31" s="15"/>
    </row>
    <row r="32" spans="1:26" ht="14.5" customHeight="1" x14ac:dyDescent="0.35">
      <c r="A32" s="29" t="s">
        <v>2045</v>
      </c>
      <c r="B32" s="14"/>
      <c r="C32" s="15"/>
      <c r="D32" s="15"/>
      <c r="E32" s="15"/>
      <c r="F32" s="15"/>
      <c r="G32" s="15"/>
    </row>
    <row r="33" spans="1:10" x14ac:dyDescent="0.3">
      <c r="A33" s="3"/>
      <c r="B33" s="8" t="s">
        <v>1210</v>
      </c>
      <c r="C33" s="8" t="s">
        <v>1209</v>
      </c>
      <c r="D33" s="110" t="s">
        <v>1206</v>
      </c>
    </row>
    <row r="34" spans="1:10" x14ac:dyDescent="0.3">
      <c r="A34" s="3" t="s">
        <v>1207</v>
      </c>
      <c r="B34" s="3">
        <f>COUNTIF('ZANGBA_Cleaned Data'!PX:PX,"oui")</f>
        <v>2</v>
      </c>
      <c r="C34" s="3">
        <f>COUNTIF('ZANGBA_Cleaned Data'!PX:PX,"non")</f>
        <v>0</v>
      </c>
      <c r="D34" s="111">
        <f>SUM(B34:C34)</f>
        <v>2</v>
      </c>
    </row>
    <row r="35" spans="1:10" s="36" customFormat="1" ht="37" x14ac:dyDescent="0.3">
      <c r="A35" s="54" t="s">
        <v>3290</v>
      </c>
      <c r="B35" s="94">
        <f>(B34/$E$9)</f>
        <v>1</v>
      </c>
      <c r="C35" s="94">
        <f>(C34/$E$9)</f>
        <v>0</v>
      </c>
      <c r="D35" s="116">
        <f>SUM(B35:C35)</f>
        <v>1</v>
      </c>
    </row>
    <row r="36" spans="1:10" ht="14.5" customHeight="1" x14ac:dyDescent="0.3">
      <c r="B36" s="14"/>
      <c r="C36" s="15"/>
      <c r="D36" s="15"/>
      <c r="E36" s="15"/>
      <c r="F36" s="15"/>
      <c r="G36" s="15"/>
    </row>
    <row r="37" spans="1:10" ht="14.5" customHeight="1" x14ac:dyDescent="0.3">
      <c r="B37" s="34" t="s">
        <v>2046</v>
      </c>
      <c r="C37" s="15"/>
      <c r="D37" s="15"/>
      <c r="E37" s="15"/>
      <c r="F37" s="15"/>
      <c r="G37" s="15"/>
    </row>
    <row r="38" spans="1:10" ht="34" customHeight="1" x14ac:dyDescent="0.3">
      <c r="B38" s="3"/>
      <c r="C38" s="6" t="s">
        <v>2047</v>
      </c>
      <c r="D38" s="6" t="s">
        <v>2048</v>
      </c>
      <c r="E38" s="6" t="s">
        <v>2049</v>
      </c>
      <c r="F38" s="110" t="s">
        <v>1206</v>
      </c>
      <c r="G38" s="15"/>
    </row>
    <row r="39" spans="1:10" ht="14.5" customHeight="1" x14ac:dyDescent="0.3">
      <c r="B39" s="3" t="s">
        <v>1207</v>
      </c>
      <c r="C39" s="77">
        <f>COUNTIF('ZANGBA_Cleaned Data'!PY:PY,"severes")</f>
        <v>1</v>
      </c>
      <c r="D39" s="77">
        <f>COUNTIF('ZANGBA_Cleaned Data'!PY:PY,"moderes")</f>
        <v>1</v>
      </c>
      <c r="E39" s="77">
        <f>COUNTIF('ZANGBA_Cleaned Data'!PY:PY,"faibles")</f>
        <v>0</v>
      </c>
      <c r="F39" s="111">
        <f>SUM(C39:E39)</f>
        <v>2</v>
      </c>
      <c r="G39" s="74"/>
    </row>
    <row r="40" spans="1:10" ht="47" customHeight="1" x14ac:dyDescent="0.3">
      <c r="B40" s="53" t="s">
        <v>3294</v>
      </c>
      <c r="C40" s="7">
        <f>C39/$B$34</f>
        <v>0.5</v>
      </c>
      <c r="D40" s="7">
        <f t="shared" ref="D40:E40" si="3">D39/$C$4</f>
        <v>0.5</v>
      </c>
      <c r="E40" s="7">
        <f t="shared" si="3"/>
        <v>0</v>
      </c>
      <c r="F40" s="116">
        <f>SUM(C40:E40)</f>
        <v>1</v>
      </c>
      <c r="G40" s="15"/>
    </row>
    <row r="41" spans="1:10" ht="14.5" customHeight="1" x14ac:dyDescent="0.3">
      <c r="B41" s="14"/>
      <c r="C41" s="15"/>
      <c r="D41" s="15"/>
      <c r="E41" s="15"/>
      <c r="F41" s="15"/>
      <c r="G41" s="15"/>
    </row>
    <row r="42" spans="1:10" ht="15.5" x14ac:dyDescent="0.35">
      <c r="A42" s="29" t="s">
        <v>1303</v>
      </c>
      <c r="C42" s="103" t="s">
        <v>3245</v>
      </c>
    </row>
    <row r="43" spans="1:10" x14ac:dyDescent="0.3">
      <c r="A43" s="3"/>
      <c r="B43" s="8" t="s">
        <v>1235</v>
      </c>
      <c r="C43" s="8" t="s">
        <v>1236</v>
      </c>
      <c r="D43" s="8" t="s">
        <v>1237</v>
      </c>
      <c r="E43" s="8" t="s">
        <v>1238</v>
      </c>
      <c r="F43" s="8" t="s">
        <v>1239</v>
      </c>
      <c r="G43" s="8" t="s">
        <v>1240</v>
      </c>
      <c r="H43" s="8" t="s">
        <v>1241</v>
      </c>
      <c r="I43" s="8" t="s">
        <v>1905</v>
      </c>
      <c r="J43" s="8" t="s">
        <v>1220</v>
      </c>
    </row>
    <row r="44" spans="1:10" x14ac:dyDescent="0.3">
      <c r="A44" s="3" t="s">
        <v>1207</v>
      </c>
      <c r="B44" s="38">
        <f>COUNTIF('ZANGBA_Cleaned Data'!SO:SO,"1")</f>
        <v>0</v>
      </c>
      <c r="C44" s="38">
        <f>COUNTIF('ZANGBA_Cleaned Data'!SP:SP,"1")</f>
        <v>0</v>
      </c>
      <c r="D44" s="38">
        <f>COUNTIF('ZANGBA_Cleaned Data'!SQ:SQ,"1")</f>
        <v>1</v>
      </c>
      <c r="E44" s="38">
        <f>COUNTIF('ZANGBA_Cleaned Data'!SR:SR,"1")</f>
        <v>0</v>
      </c>
      <c r="F44" s="38">
        <f>COUNTIF('ZANGBA_Cleaned Data'!SS:SS,"1")</f>
        <v>0</v>
      </c>
      <c r="G44" s="38">
        <f>COUNTIF('ZANGBA_Cleaned Data'!ST:ST,"1")</f>
        <v>0</v>
      </c>
      <c r="H44" s="38">
        <f>COUNTIF('ZANGBA_Cleaned Data'!SZ:SZ,"1")</f>
        <v>1</v>
      </c>
      <c r="I44" s="38">
        <f>COUNTIF('ZANGBA_Cleaned Data'!SV:SV,"1")</f>
        <v>0</v>
      </c>
      <c r="J44" s="38">
        <f>COUNTIF('ZANGBA_Cleaned Data'!SW:SW,"1")</f>
        <v>0</v>
      </c>
    </row>
    <row r="45" spans="1:10" x14ac:dyDescent="0.3">
      <c r="A45" s="3" t="s">
        <v>1221</v>
      </c>
      <c r="B45" s="7">
        <f>B44/$B$9</f>
        <v>0</v>
      </c>
      <c r="C45" s="7">
        <f t="shared" ref="C45:J45" si="4">C44/$B$9</f>
        <v>0</v>
      </c>
      <c r="D45" s="7">
        <f t="shared" si="4"/>
        <v>0.5</v>
      </c>
      <c r="E45" s="7">
        <f t="shared" si="4"/>
        <v>0</v>
      </c>
      <c r="F45" s="7">
        <f t="shared" si="4"/>
        <v>0</v>
      </c>
      <c r="G45" s="7">
        <f t="shared" si="4"/>
        <v>0</v>
      </c>
      <c r="H45" s="7">
        <f t="shared" si="4"/>
        <v>0.5</v>
      </c>
      <c r="I45" s="7">
        <f t="shared" si="4"/>
        <v>0</v>
      </c>
      <c r="J45" s="7">
        <f t="shared" si="4"/>
        <v>0</v>
      </c>
    </row>
    <row r="46" spans="1:10" x14ac:dyDescent="0.3">
      <c r="A46" s="14"/>
      <c r="B46" s="15"/>
      <c r="C46" s="15"/>
      <c r="D46" s="15"/>
      <c r="J46" s="74"/>
    </row>
    <row r="47" spans="1:10" ht="15.5" x14ac:dyDescent="0.35">
      <c r="A47" s="29" t="s">
        <v>1412</v>
      </c>
    </row>
    <row r="48" spans="1:10" s="36" customFormat="1" ht="28" x14ac:dyDescent="0.35">
      <c r="A48" s="43"/>
      <c r="B48" s="35" t="s">
        <v>1210</v>
      </c>
      <c r="C48" s="35" t="s">
        <v>1413</v>
      </c>
      <c r="D48" s="35" t="s">
        <v>1209</v>
      </c>
      <c r="E48" s="110" t="s">
        <v>1206</v>
      </c>
    </row>
    <row r="49" spans="1:6" x14ac:dyDescent="0.3">
      <c r="A49" s="3" t="s">
        <v>1207</v>
      </c>
      <c r="B49" s="3">
        <f>COUNTIF('ZANGBA_Cleaned Data'!PL:PL,"oui")</f>
        <v>1</v>
      </c>
      <c r="C49" s="3">
        <f>COUNTIF('ZANGBA_Cleaned Data'!PL:PL,"non_non_fonctionnelles")</f>
        <v>1</v>
      </c>
      <c r="D49" s="3">
        <f>COUNTIF('ZANGBA_Cleaned Data'!PL:PL,"non_aucun")</f>
        <v>0</v>
      </c>
      <c r="E49" s="111">
        <f>SUM(B49:D49)</f>
        <v>2</v>
      </c>
    </row>
    <row r="50" spans="1:6" s="36" customFormat="1" ht="37" x14ac:dyDescent="0.3">
      <c r="A50" s="54" t="s">
        <v>3290</v>
      </c>
      <c r="B50" s="94">
        <f>(B49/$E$9)</f>
        <v>0.5</v>
      </c>
      <c r="C50" s="94">
        <f t="shared" ref="C50:D50" si="5">(C49/$E$9)</f>
        <v>0.5</v>
      </c>
      <c r="D50" s="94">
        <f t="shared" si="5"/>
        <v>0</v>
      </c>
      <c r="E50" s="116">
        <f>SUM(B50:D50)</f>
        <v>1</v>
      </c>
    </row>
    <row r="52" spans="1:6" x14ac:dyDescent="0.3">
      <c r="B52" s="18" t="s">
        <v>1287</v>
      </c>
    </row>
    <row r="53" spans="1:6" x14ac:dyDescent="0.3">
      <c r="B53" s="21">
        <f>AVERAGE('ZANGBA_Cleaned Data'!PM:PM)</f>
        <v>2</v>
      </c>
    </row>
    <row r="54" spans="1:6" x14ac:dyDescent="0.3">
      <c r="B54" s="21"/>
      <c r="F54" s="74"/>
    </row>
    <row r="55" spans="1:6" x14ac:dyDescent="0.3">
      <c r="B55" s="18" t="s">
        <v>1414</v>
      </c>
    </row>
    <row r="56" spans="1:6" x14ac:dyDescent="0.3">
      <c r="B56" s="3"/>
      <c r="C56" s="11" t="s">
        <v>1210</v>
      </c>
      <c r="D56" s="11" t="s">
        <v>1209</v>
      </c>
      <c r="E56" s="110" t="s">
        <v>1206</v>
      </c>
    </row>
    <row r="57" spans="1:6" x14ac:dyDescent="0.3">
      <c r="B57" s="3" t="s">
        <v>1207</v>
      </c>
      <c r="C57" s="3">
        <f>COUNTIF('ZANGBA_Cleaned Data'!PN:PN,"oui")</f>
        <v>1</v>
      </c>
      <c r="D57" s="3">
        <f>COUNTIF('ZANGBA_Cleaned Data'!PN:PN,"non")</f>
        <v>0</v>
      </c>
      <c r="E57" s="111">
        <f>SUM(C57:D57)</f>
        <v>1</v>
      </c>
    </row>
    <row r="58" spans="1:6" ht="37.5" x14ac:dyDescent="0.3">
      <c r="B58" s="53" t="s">
        <v>3296</v>
      </c>
      <c r="C58" s="7">
        <f>(C57/$B$49)</f>
        <v>1</v>
      </c>
      <c r="D58" s="7">
        <f>(D57/$B$49)</f>
        <v>0</v>
      </c>
      <c r="E58" s="116">
        <f>SUM(C58:D58)</f>
        <v>1</v>
      </c>
    </row>
    <row r="60" spans="1:6" x14ac:dyDescent="0.3">
      <c r="C60" s="18" t="s">
        <v>1416</v>
      </c>
      <c r="D60" s="18"/>
      <c r="E60" s="21">
        <f>AVERAGE('ZANGBA_Cleaned Data'!PO:PO)</f>
        <v>1</v>
      </c>
      <c r="F60" s="74"/>
    </row>
    <row r="61" spans="1:6" x14ac:dyDescent="0.3">
      <c r="C61" s="18"/>
      <c r="D61" s="18"/>
      <c r="F61" s="74"/>
    </row>
    <row r="62" spans="1:6" x14ac:dyDescent="0.3">
      <c r="C62" s="18" t="s">
        <v>1415</v>
      </c>
      <c r="D62" s="18"/>
      <c r="E62" s="21">
        <f>AVERAGE('ZANGBA_Cleaned Data'!PP:PP)</f>
        <v>1</v>
      </c>
      <c r="F62" s="74"/>
    </row>
    <row r="64" spans="1:6" x14ac:dyDescent="0.3">
      <c r="B64" s="18" t="s">
        <v>1417</v>
      </c>
    </row>
    <row r="65" spans="1:8" x14ac:dyDescent="0.3">
      <c r="B65" s="3"/>
      <c r="C65" s="11" t="s">
        <v>1210</v>
      </c>
      <c r="D65" s="11" t="s">
        <v>1209</v>
      </c>
      <c r="E65" s="110" t="s">
        <v>1206</v>
      </c>
    </row>
    <row r="66" spans="1:8" x14ac:dyDescent="0.3">
      <c r="B66" s="3" t="s">
        <v>1207</v>
      </c>
      <c r="C66" s="3">
        <f>COUNTIF('ZANGBA_Cleaned Data'!PQ:PQ,"oui")</f>
        <v>0</v>
      </c>
      <c r="D66" s="3">
        <f>COUNTIF('ZANGBA_Cleaned Data'!PQ:PQ,"non")</f>
        <v>1</v>
      </c>
      <c r="E66" s="111">
        <f>SUM(C66:D66)</f>
        <v>1</v>
      </c>
    </row>
    <row r="67" spans="1:8" ht="37.5" x14ac:dyDescent="0.3">
      <c r="B67" s="53" t="s">
        <v>3296</v>
      </c>
      <c r="C67" s="7">
        <f>(C66/$B$49)</f>
        <v>0</v>
      </c>
      <c r="D67" s="7">
        <f>(D66/$B$49)</f>
        <v>1</v>
      </c>
      <c r="E67" s="116">
        <f>SUM(C67:D67)</f>
        <v>1</v>
      </c>
    </row>
    <row r="69" spans="1:8" ht="15.5" x14ac:dyDescent="0.35">
      <c r="A69" s="29" t="s">
        <v>1418</v>
      </c>
    </row>
    <row r="70" spans="1:8" x14ac:dyDescent="0.3">
      <c r="A70" s="3"/>
      <c r="B70" s="8" t="s">
        <v>1210</v>
      </c>
      <c r="C70" s="8" t="s">
        <v>1209</v>
      </c>
      <c r="D70" s="110" t="s">
        <v>1206</v>
      </c>
    </row>
    <row r="71" spans="1:8" x14ac:dyDescent="0.3">
      <c r="A71" s="3" t="s">
        <v>1207</v>
      </c>
      <c r="B71" s="3">
        <f>COUNTIF('ZANGBA_Cleaned Data'!PR:PR,"oui")</f>
        <v>1</v>
      </c>
      <c r="C71" s="3">
        <f>COUNTIF('ZANGBA_Cleaned Data'!PR:PR,"non")</f>
        <v>1</v>
      </c>
      <c r="D71" s="111">
        <f>SUM(B71:C71)</f>
        <v>2</v>
      </c>
    </row>
    <row r="72" spans="1:8" s="36" customFormat="1" ht="37" x14ac:dyDescent="0.3">
      <c r="A72" s="54" t="s">
        <v>3290</v>
      </c>
      <c r="B72" s="94">
        <f>(B71/$E$9)</f>
        <v>0.5</v>
      </c>
      <c r="C72" s="94">
        <f>(C71/$E$9)</f>
        <v>0.5</v>
      </c>
      <c r="D72" s="116">
        <f>SUM(B72:C72)</f>
        <v>1</v>
      </c>
    </row>
    <row r="74" spans="1:8" x14ac:dyDescent="0.3">
      <c r="B74" s="18" t="s">
        <v>1419</v>
      </c>
    </row>
    <row r="75" spans="1:8" ht="42" x14ac:dyDescent="0.3">
      <c r="B75" s="3"/>
      <c r="C75" s="6" t="s">
        <v>1420</v>
      </c>
      <c r="D75" s="11" t="s">
        <v>1421</v>
      </c>
      <c r="E75" s="11" t="s">
        <v>1422</v>
      </c>
      <c r="F75" s="11" t="s">
        <v>1905</v>
      </c>
      <c r="G75" s="11" t="s">
        <v>1205</v>
      </c>
      <c r="H75" s="110" t="s">
        <v>1206</v>
      </c>
    </row>
    <row r="76" spans="1:8" x14ac:dyDescent="0.3">
      <c r="B76" s="3" t="s">
        <v>1207</v>
      </c>
      <c r="C76" s="3">
        <f>COUNTIF('ZANGBA_Cleaned Data'!PS:PS,"acces_direct")</f>
        <v>0</v>
      </c>
      <c r="D76" s="3">
        <f>COUNTIF('ZANGBA_Cleaned Data'!PS:PS,"acces_communautaire")</f>
        <v>1</v>
      </c>
      <c r="E76" s="3">
        <f>COUNTIF('ZANGBA_Cleaned Data'!PS:PS,"camion")</f>
        <v>0</v>
      </c>
      <c r="F76" s="3">
        <f>COUNTIF('ZANGBA_Cleaned Data'!PS:PS,"nsp")</f>
        <v>0</v>
      </c>
      <c r="G76" s="3">
        <f>COUNTIF('ZANGBA_Cleaned Data'!PS:PS,"autre")</f>
        <v>0</v>
      </c>
      <c r="H76" s="111">
        <f>SUM(C76:G76)</f>
        <v>1</v>
      </c>
    </row>
    <row r="77" spans="1:8" ht="48.5" x14ac:dyDescent="0.3">
      <c r="B77" s="54" t="s">
        <v>3297</v>
      </c>
      <c r="C77" s="94">
        <f>C76/$B$71</f>
        <v>0</v>
      </c>
      <c r="D77" s="94">
        <f t="shared" ref="D77:G77" si="6">D76/$B$71</f>
        <v>1</v>
      </c>
      <c r="E77" s="94">
        <f t="shared" si="6"/>
        <v>0</v>
      </c>
      <c r="F77" s="94">
        <f t="shared" si="6"/>
        <v>0</v>
      </c>
      <c r="G77" s="94">
        <f t="shared" si="6"/>
        <v>0</v>
      </c>
      <c r="H77" s="116">
        <f>SUM(C77:G77)</f>
        <v>1</v>
      </c>
    </row>
    <row r="78" spans="1:8" x14ac:dyDescent="0.3">
      <c r="B78" s="91"/>
    </row>
    <row r="79" spans="1:8" ht="15.5" x14ac:dyDescent="0.35">
      <c r="A79" s="29" t="s">
        <v>1423</v>
      </c>
    </row>
    <row r="80" spans="1:8" x14ac:dyDescent="0.3">
      <c r="A80" s="3"/>
      <c r="B80" s="8" t="s">
        <v>1210</v>
      </c>
      <c r="C80" s="8" t="s">
        <v>1209</v>
      </c>
      <c r="D80" s="110" t="s">
        <v>1206</v>
      </c>
    </row>
    <row r="81" spans="1:14" x14ac:dyDescent="0.3">
      <c r="A81" s="3" t="s">
        <v>1207</v>
      </c>
      <c r="B81" s="3">
        <f>COUNTIF('ZANGBA_Cleaned Data'!PU:PU,"oui")</f>
        <v>0</v>
      </c>
      <c r="C81" s="3">
        <f>COUNTIF('ZANGBA_Cleaned Data'!PU:PU,"non")</f>
        <v>2</v>
      </c>
      <c r="D81" s="111">
        <f>SUM(B81:C81)</f>
        <v>2</v>
      </c>
    </row>
    <row r="82" spans="1:14" s="36" customFormat="1" ht="37" x14ac:dyDescent="0.3">
      <c r="A82" s="54" t="s">
        <v>3290</v>
      </c>
      <c r="B82" s="94">
        <f>(B81/$E$9)</f>
        <v>0</v>
      </c>
      <c r="C82" s="94">
        <f>(C81/$E$9)</f>
        <v>1</v>
      </c>
      <c r="D82" s="100">
        <f>SUM(B82:C82)</f>
        <v>1</v>
      </c>
    </row>
    <row r="83" spans="1:14" s="36" customFormat="1" x14ac:dyDescent="0.35">
      <c r="A83" s="65"/>
      <c r="B83" s="48"/>
      <c r="C83" s="48"/>
    </row>
    <row r="84" spans="1:14" x14ac:dyDescent="0.3">
      <c r="B84" s="18" t="s">
        <v>2331</v>
      </c>
    </row>
    <row r="85" spans="1:14" ht="56" x14ac:dyDescent="0.3">
      <c r="B85" s="3"/>
      <c r="C85" s="11" t="s">
        <v>1210</v>
      </c>
      <c r="D85" s="11" t="s">
        <v>2332</v>
      </c>
      <c r="E85" s="11" t="s">
        <v>2333</v>
      </c>
      <c r="F85" s="11" t="s">
        <v>2334</v>
      </c>
      <c r="G85" s="110" t="s">
        <v>1206</v>
      </c>
    </row>
    <row r="86" spans="1:14" s="36" customFormat="1" x14ac:dyDescent="0.3">
      <c r="B86" s="3" t="s">
        <v>1207</v>
      </c>
      <c r="C86" s="3">
        <f>COUNTIF('ZANGBA_Cleaned Data'!PV:PV,"oui")</f>
        <v>0</v>
      </c>
      <c r="D86" s="3">
        <f>COUNTIF('ZANGBA_Cleaned Data'!PV:PV,"non_panne")</f>
        <v>0</v>
      </c>
      <c r="E86" s="3">
        <f>COUNTIF('ZANGBA_Cleaned Data'!PV:PV,"non_essence")</f>
        <v>0</v>
      </c>
      <c r="F86" s="3">
        <f>COUNTIF('ZANGBA_Cleaned Data'!PV:PV,"non_equipement")</f>
        <v>0</v>
      </c>
      <c r="G86" s="111">
        <f>SUM(C86:F86)</f>
        <v>0</v>
      </c>
    </row>
    <row r="87" spans="1:14" ht="37" x14ac:dyDescent="0.3">
      <c r="B87" s="54" t="s">
        <v>3298</v>
      </c>
      <c r="C87" s="94" t="e">
        <f>(C86/$B$81)</f>
        <v>#DIV/0!</v>
      </c>
      <c r="D87" s="94" t="e">
        <f t="shared" ref="D87:F87" si="7">(D86/$B$81)</f>
        <v>#DIV/0!</v>
      </c>
      <c r="E87" s="94" t="e">
        <f t="shared" si="7"/>
        <v>#DIV/0!</v>
      </c>
      <c r="F87" s="94" t="e">
        <f t="shared" si="7"/>
        <v>#DIV/0!</v>
      </c>
      <c r="G87" s="100" t="e">
        <f>SUM(C87:F87)</f>
        <v>#DIV/0!</v>
      </c>
    </row>
    <row r="88" spans="1:14" x14ac:dyDescent="0.3">
      <c r="C88" s="65"/>
      <c r="D88" s="48"/>
      <c r="E88" s="48"/>
    </row>
    <row r="89" spans="1:14" x14ac:dyDescent="0.3">
      <c r="A89" s="21" t="s">
        <v>1424</v>
      </c>
    </row>
    <row r="90" spans="1:14" ht="15.5" x14ac:dyDescent="0.35">
      <c r="A90" s="29" t="s">
        <v>1425</v>
      </c>
      <c r="C90" s="103" t="s">
        <v>3245</v>
      </c>
    </row>
    <row r="91" spans="1:14" s="36" customFormat="1" ht="42" x14ac:dyDescent="0.3">
      <c r="A91" s="3"/>
      <c r="B91" s="8" t="s">
        <v>1426</v>
      </c>
      <c r="C91" s="8" t="s">
        <v>2050</v>
      </c>
      <c r="D91" s="8" t="s">
        <v>1427</v>
      </c>
      <c r="E91" s="8" t="s">
        <v>2051</v>
      </c>
      <c r="F91" s="8" t="s">
        <v>1428</v>
      </c>
      <c r="G91" s="8" t="s">
        <v>1429</v>
      </c>
      <c r="H91" s="8" t="s">
        <v>1430</v>
      </c>
      <c r="I91" s="8" t="s">
        <v>2052</v>
      </c>
      <c r="J91" s="8" t="s">
        <v>2053</v>
      </c>
      <c r="K91" s="8" t="s">
        <v>2054</v>
      </c>
      <c r="L91" s="8" t="s">
        <v>1431</v>
      </c>
      <c r="M91" s="8" t="s">
        <v>3299</v>
      </c>
      <c r="N91" s="8" t="s">
        <v>1220</v>
      </c>
    </row>
    <row r="92" spans="1:14" x14ac:dyDescent="0.3">
      <c r="A92" s="3" t="s">
        <v>1207</v>
      </c>
      <c r="B92" s="3">
        <f>COUNTIF('ZANGBA_Cleaned Data'!QA:QA,"1")</f>
        <v>0</v>
      </c>
      <c r="C92" s="3">
        <f>COUNTIF('ZANGBA_Cleaned Data'!QN:QN,"1")</f>
        <v>0</v>
      </c>
      <c r="D92" s="3">
        <f>COUNTIF('ZANGBA_Cleaned Data'!QB:QB,"1")</f>
        <v>0</v>
      </c>
      <c r="E92" s="3">
        <f>COUNTIF('ZANGBA_Cleaned Data'!QC:QC,"1")</f>
        <v>1</v>
      </c>
      <c r="F92" s="3">
        <f>COUNTIF('ZANGBA_Cleaned Data'!QD:QD,"1")</f>
        <v>2</v>
      </c>
      <c r="G92" s="3">
        <f>COUNTIF('ZANGBA_Cleaned Data'!QE:QE,"1")</f>
        <v>1</v>
      </c>
      <c r="H92" s="3">
        <f>COUNTIF('ZANGBA_Cleaned Data'!QF:QF,"1")</f>
        <v>0</v>
      </c>
      <c r="I92" s="3">
        <f>COUNTIF('ZANGBA_Cleaned Data'!QG:QG,"1")</f>
        <v>0</v>
      </c>
      <c r="J92" s="3">
        <f>COUNTIF('ZANGBA_Cleaned Data'!QH:QH,"1")</f>
        <v>0</v>
      </c>
      <c r="K92" s="3">
        <f>COUNTIF('ZANGBA_Cleaned Data'!QJ:QJ,"1")</f>
        <v>1</v>
      </c>
      <c r="L92" s="3">
        <f>COUNTIF('ZANGBA_Cleaned Data'!QK:QK,"1")</f>
        <v>2</v>
      </c>
      <c r="M92" s="3">
        <f>COUNTIF('ZANGBA_Cleaned Data'!QL:QL,"1")</f>
        <v>0</v>
      </c>
      <c r="N92" s="3">
        <f>COUNTIF('ZANGBA_Cleaned Data'!QM:QM,"1")</f>
        <v>0</v>
      </c>
    </row>
    <row r="93" spans="1:14" s="36" customFormat="1" ht="37" x14ac:dyDescent="0.35">
      <c r="A93" s="54" t="s">
        <v>3301</v>
      </c>
      <c r="B93" s="55">
        <f t="shared" ref="B93:N93" si="8">(B92/$E$9)</f>
        <v>0</v>
      </c>
      <c r="C93" s="55">
        <f t="shared" si="8"/>
        <v>0</v>
      </c>
      <c r="D93" s="55">
        <f t="shared" si="8"/>
        <v>0</v>
      </c>
      <c r="E93" s="55">
        <f t="shared" si="8"/>
        <v>0.5</v>
      </c>
      <c r="F93" s="55">
        <f t="shared" si="8"/>
        <v>1</v>
      </c>
      <c r="G93" s="55">
        <f t="shared" si="8"/>
        <v>0.5</v>
      </c>
      <c r="H93" s="55">
        <f t="shared" si="8"/>
        <v>0</v>
      </c>
      <c r="I93" s="55">
        <f t="shared" si="8"/>
        <v>0</v>
      </c>
      <c r="J93" s="55">
        <f t="shared" si="8"/>
        <v>0</v>
      </c>
      <c r="K93" s="55">
        <f t="shared" si="8"/>
        <v>0.5</v>
      </c>
      <c r="L93" s="55">
        <f t="shared" si="8"/>
        <v>1</v>
      </c>
      <c r="M93" s="55">
        <f t="shared" si="8"/>
        <v>0</v>
      </c>
      <c r="N93" s="55">
        <f t="shared" si="8"/>
        <v>0</v>
      </c>
    </row>
    <row r="94" spans="1:14" x14ac:dyDescent="0.3">
      <c r="A94" s="14"/>
      <c r="B94" s="14"/>
      <c r="C94" s="14"/>
      <c r="D94" s="14"/>
      <c r="E94" s="14"/>
      <c r="F94" s="14"/>
      <c r="G94" s="14"/>
      <c r="H94" s="14"/>
      <c r="I94" s="14"/>
      <c r="J94" s="14"/>
      <c r="K94" s="14"/>
      <c r="L94" s="14"/>
      <c r="M94" s="14"/>
    </row>
    <row r="95" spans="1:14" ht="15.5" x14ac:dyDescent="0.35">
      <c r="A95" s="45" t="s">
        <v>1462</v>
      </c>
      <c r="B95" s="14"/>
      <c r="C95" s="14"/>
      <c r="D95" s="14"/>
      <c r="E95" s="14"/>
      <c r="F95" s="14"/>
      <c r="G95" s="14"/>
      <c r="H95" s="14"/>
      <c r="I95" s="14"/>
      <c r="J95" s="14"/>
      <c r="K95" s="14"/>
      <c r="L95" s="14"/>
      <c r="M95" s="14"/>
    </row>
    <row r="96" spans="1:14" ht="42" x14ac:dyDescent="0.3">
      <c r="A96" s="24"/>
      <c r="B96" s="8" t="s">
        <v>2335</v>
      </c>
      <c r="C96" s="8" t="s">
        <v>2336</v>
      </c>
      <c r="D96" s="8" t="s">
        <v>2216</v>
      </c>
      <c r="E96" s="110" t="s">
        <v>1206</v>
      </c>
      <c r="F96" s="14"/>
      <c r="G96" s="14"/>
      <c r="H96" s="14"/>
      <c r="I96" s="14"/>
      <c r="J96" s="14"/>
      <c r="K96" s="14"/>
      <c r="L96" s="14"/>
      <c r="M96" s="14"/>
    </row>
    <row r="97" spans="1:13" x14ac:dyDescent="0.3">
      <c r="A97" s="24" t="s">
        <v>1207</v>
      </c>
      <c r="B97" s="3">
        <f>COUNTIF('ZANGBA_Cleaned Data'!TB:TB,"oui")</f>
        <v>0</v>
      </c>
      <c r="C97" s="3">
        <f>COUNTIF('ZANGBA_Cleaned Data'!TB:TB,"oui_exception")</f>
        <v>0</v>
      </c>
      <c r="D97" s="3">
        <f>COUNTIF('ZANGBA_Cleaned Data'!TB:TB,"non")</f>
        <v>2</v>
      </c>
      <c r="E97" s="111">
        <f>SUM(B97:D97)</f>
        <v>2</v>
      </c>
      <c r="F97" s="14"/>
      <c r="G97" s="14"/>
      <c r="H97" s="14"/>
      <c r="I97" s="14"/>
      <c r="J97" s="14"/>
      <c r="K97" s="14"/>
      <c r="L97" s="14"/>
      <c r="M97" s="14"/>
    </row>
    <row r="98" spans="1:13" s="36" customFormat="1" ht="37" x14ac:dyDescent="0.3">
      <c r="A98" s="54" t="s">
        <v>3301</v>
      </c>
      <c r="B98" s="120">
        <f>(B97/$E$9)</f>
        <v>0</v>
      </c>
      <c r="C98" s="120">
        <f t="shared" ref="C98:D98" si="9">(C97/$E$9)</f>
        <v>0</v>
      </c>
      <c r="D98" s="120">
        <f t="shared" si="9"/>
        <v>1</v>
      </c>
      <c r="E98" s="100">
        <f>SUM(B98:D98)</f>
        <v>1</v>
      </c>
      <c r="F98" s="47"/>
      <c r="G98" s="47"/>
      <c r="H98" s="47"/>
      <c r="I98" s="47"/>
      <c r="J98" s="47"/>
      <c r="K98" s="47"/>
      <c r="L98" s="47"/>
      <c r="M98" s="47"/>
    </row>
    <row r="99" spans="1:13" x14ac:dyDescent="0.3">
      <c r="A99" s="14"/>
      <c r="B99" s="15"/>
      <c r="C99" s="87"/>
      <c r="D99" s="14"/>
      <c r="E99" s="14"/>
      <c r="F99" s="14"/>
      <c r="G99" s="14"/>
      <c r="H99" s="14"/>
      <c r="I99" s="14"/>
      <c r="J99" s="14"/>
      <c r="K99" s="14"/>
      <c r="L99" s="14"/>
      <c r="M99" s="14"/>
    </row>
    <row r="100" spans="1:13" x14ac:dyDescent="0.3">
      <c r="A100" s="14"/>
      <c r="B100" s="15"/>
      <c r="C100" s="86"/>
      <c r="D100" s="14"/>
      <c r="E100" s="14"/>
      <c r="F100" s="14"/>
      <c r="G100" s="14"/>
      <c r="H100" s="14"/>
      <c r="I100" s="14"/>
      <c r="J100" s="14"/>
      <c r="K100" s="14"/>
      <c r="L100" s="14"/>
      <c r="M100" s="14"/>
    </row>
    <row r="101" spans="1:13" x14ac:dyDescent="0.3">
      <c r="A101" s="14"/>
      <c r="B101" s="42" t="s">
        <v>1463</v>
      </c>
      <c r="C101" s="15"/>
      <c r="D101" s="14"/>
      <c r="E101" s="14"/>
      <c r="F101" s="14"/>
      <c r="G101" s="14"/>
      <c r="H101" s="14"/>
      <c r="I101" s="14"/>
      <c r="J101" s="14"/>
      <c r="K101" s="14"/>
      <c r="L101" s="14"/>
      <c r="M101" s="14"/>
    </row>
    <row r="102" spans="1:13" x14ac:dyDescent="0.3">
      <c r="A102" s="14"/>
      <c r="B102" s="24"/>
      <c r="C102" s="11" t="s">
        <v>1210</v>
      </c>
      <c r="D102" s="11" t="s">
        <v>1209</v>
      </c>
      <c r="E102" s="110" t="s">
        <v>1206</v>
      </c>
      <c r="F102" s="14"/>
      <c r="G102" s="14"/>
      <c r="H102" s="14"/>
      <c r="I102" s="14"/>
      <c r="J102" s="14"/>
      <c r="K102" s="14"/>
      <c r="L102" s="14"/>
      <c r="M102" s="14"/>
    </row>
    <row r="103" spans="1:13" x14ac:dyDescent="0.3">
      <c r="A103" s="14"/>
      <c r="B103" s="24" t="s">
        <v>1207</v>
      </c>
      <c r="C103" s="3">
        <f>COUNTIF('ZANGBA_Cleaned Data'!TJ:TJ,"oui")</f>
        <v>0</v>
      </c>
      <c r="D103" s="3">
        <f>COUNTIF('ZANGBA_Cleaned Data'!TJ:TJ,"non")</f>
        <v>2</v>
      </c>
      <c r="E103" s="111">
        <f>SUM(C103:D103)</f>
        <v>2</v>
      </c>
      <c r="G103" s="76" t="s">
        <v>3300</v>
      </c>
      <c r="H103" s="14"/>
      <c r="I103" s="14"/>
      <c r="J103" s="14"/>
      <c r="K103" s="14"/>
      <c r="L103" s="14"/>
      <c r="M103" s="14"/>
    </row>
    <row r="104" spans="1:13" ht="40.5" customHeight="1" x14ac:dyDescent="0.3">
      <c r="A104" s="14"/>
      <c r="B104" s="121" t="s">
        <v>3302</v>
      </c>
      <c r="C104" s="39" t="e">
        <f>(C103/($B$97+$C$97))</f>
        <v>#DIV/0!</v>
      </c>
      <c r="D104" s="39" t="e">
        <f>(D103/($B$97+$C$97))</f>
        <v>#DIV/0!</v>
      </c>
      <c r="E104" s="100" t="e">
        <f>SUM(C104:D104)</f>
        <v>#DIV/0!</v>
      </c>
      <c r="F104" s="14"/>
      <c r="G104" s="14"/>
      <c r="H104" s="14"/>
      <c r="I104" s="14"/>
      <c r="J104" s="14"/>
      <c r="K104" s="14"/>
      <c r="L104" s="14"/>
      <c r="M104" s="14"/>
    </row>
    <row r="105" spans="1:13" x14ac:dyDescent="0.3">
      <c r="A105" s="14"/>
      <c r="B105" s="15"/>
      <c r="C105" s="15"/>
      <c r="D105" s="14"/>
      <c r="E105" s="14"/>
      <c r="F105" s="14"/>
      <c r="G105" s="14"/>
      <c r="H105" s="14"/>
      <c r="I105" s="14"/>
      <c r="J105" s="14"/>
      <c r="K105" s="14"/>
      <c r="L105" s="14"/>
      <c r="M105" s="14"/>
    </row>
    <row r="106" spans="1:13" x14ac:dyDescent="0.3">
      <c r="A106" s="14"/>
      <c r="B106" s="15"/>
      <c r="C106" s="42" t="s">
        <v>1464</v>
      </c>
      <c r="D106" s="14"/>
      <c r="E106" s="14"/>
      <c r="F106" s="14"/>
      <c r="G106" s="14"/>
      <c r="H106" s="14"/>
      <c r="I106" s="14"/>
      <c r="J106" s="14"/>
      <c r="K106" s="14"/>
      <c r="L106" s="14"/>
      <c r="M106" s="14"/>
    </row>
    <row r="107" spans="1:13" ht="28" x14ac:dyDescent="0.3">
      <c r="A107" s="14"/>
      <c r="B107" s="15"/>
      <c r="C107" s="24"/>
      <c r="D107" s="11" t="s">
        <v>1226</v>
      </c>
      <c r="E107" s="11" t="s">
        <v>1405</v>
      </c>
      <c r="F107" s="11" t="s">
        <v>1225</v>
      </c>
      <c r="G107" s="11" t="s">
        <v>1404</v>
      </c>
      <c r="J107" s="14"/>
      <c r="K107" s="14"/>
      <c r="L107" s="14"/>
      <c r="M107" s="14"/>
    </row>
    <row r="108" spans="1:13" x14ac:dyDescent="0.3">
      <c r="A108" s="14"/>
      <c r="B108" s="15"/>
      <c r="C108" s="24" t="s">
        <v>1207</v>
      </c>
      <c r="D108" s="38">
        <f>COUNTIF('ZANGBA_Cleaned Data'!TK:TK,"bcp_diminue")</f>
        <v>0</v>
      </c>
      <c r="E108" s="38">
        <f>COUNTIF('ZANGBA_Cleaned Data'!TK:TK,"peu_diminue")</f>
        <v>0</v>
      </c>
      <c r="F108" s="38">
        <f>COUNTIF('ZANGBA_Cleaned Data'!TK:TK,"bcp_augmente")</f>
        <v>0</v>
      </c>
      <c r="G108" s="38">
        <f>COUNTIF('ZANGBA_Cleaned Data'!TK:TK,"peu_augmente")</f>
        <v>0</v>
      </c>
      <c r="H108" s="76"/>
      <c r="J108" s="14"/>
      <c r="K108" s="76"/>
      <c r="L108" s="14"/>
      <c r="M108" s="14"/>
    </row>
    <row r="109" spans="1:13" ht="60.5" x14ac:dyDescent="0.3">
      <c r="A109" s="14"/>
      <c r="B109" s="15"/>
      <c r="C109" s="121" t="s">
        <v>3302</v>
      </c>
      <c r="D109" s="39" t="e">
        <f>(D108/$C$103)</f>
        <v>#DIV/0!</v>
      </c>
      <c r="E109" s="39" t="e">
        <f>(E108/$C$103)</f>
        <v>#DIV/0!</v>
      </c>
      <c r="F109" s="39" t="e">
        <f>(F108/$C$103)</f>
        <v>#DIV/0!</v>
      </c>
      <c r="G109" s="39" t="e">
        <f>(G108/$C$103)</f>
        <v>#DIV/0!</v>
      </c>
      <c r="J109" s="14"/>
      <c r="K109" s="14"/>
      <c r="L109" s="14"/>
      <c r="M109" s="14"/>
    </row>
    <row r="110" spans="1:13" x14ac:dyDescent="0.3">
      <c r="A110" s="14"/>
      <c r="B110" s="15"/>
      <c r="C110" s="15"/>
      <c r="D110" s="14"/>
      <c r="E110" s="14"/>
      <c r="F110" s="14"/>
      <c r="G110" s="14"/>
      <c r="H110" s="14"/>
      <c r="I110" s="14"/>
      <c r="J110" s="14"/>
      <c r="K110" s="14"/>
      <c r="L110" s="14"/>
      <c r="M110" s="14"/>
    </row>
    <row r="111" spans="1:13" x14ac:dyDescent="0.3">
      <c r="A111" s="14"/>
      <c r="B111" s="15"/>
      <c r="C111" s="42" t="s">
        <v>1310</v>
      </c>
      <c r="D111" s="14"/>
      <c r="E111" s="103" t="s">
        <v>3245</v>
      </c>
      <c r="F111" s="14"/>
      <c r="G111" s="14"/>
      <c r="H111" s="14"/>
      <c r="I111" s="14"/>
      <c r="J111" s="14"/>
      <c r="K111" s="14"/>
      <c r="L111" s="14"/>
      <c r="M111" s="14"/>
    </row>
    <row r="112" spans="1:13" s="36" customFormat="1" ht="70" x14ac:dyDescent="0.3">
      <c r="A112" s="47"/>
      <c r="B112" s="48"/>
      <c r="C112" s="24"/>
      <c r="D112" s="11" t="s">
        <v>2067</v>
      </c>
      <c r="E112" s="11" t="s">
        <v>2068</v>
      </c>
      <c r="F112" s="11" t="s">
        <v>2069</v>
      </c>
      <c r="G112" s="11" t="s">
        <v>2070</v>
      </c>
      <c r="H112" s="11" t="s">
        <v>2071</v>
      </c>
      <c r="I112" s="11" t="s">
        <v>2072</v>
      </c>
      <c r="J112" s="11" t="s">
        <v>1905</v>
      </c>
      <c r="K112" s="11" t="s">
        <v>1220</v>
      </c>
      <c r="L112" s="47"/>
      <c r="M112" s="47"/>
    </row>
    <row r="113" spans="1:13" x14ac:dyDescent="0.3">
      <c r="A113" s="14"/>
      <c r="B113" s="15"/>
      <c r="C113" s="24" t="s">
        <v>1207</v>
      </c>
      <c r="D113" s="24">
        <f>COUNTIF('ZANGBA_Cleaned Data'!TW:TW,"1")</f>
        <v>0</v>
      </c>
      <c r="E113" s="24">
        <f>COUNTIF('ZANGBA_Cleaned Data'!TX:TX,"1")</f>
        <v>0</v>
      </c>
      <c r="F113" s="24">
        <f>COUNTIF('ZANGBA_Cleaned Data'!TY:TY,"1")</f>
        <v>0</v>
      </c>
      <c r="G113" s="24">
        <f>COUNTIF('ZANGBA_Cleaned Data'!TZ:TZ,"1")</f>
        <v>0</v>
      </c>
      <c r="H113" s="24">
        <f>COUNTIF('ZANGBA_Cleaned Data'!UA:UA,"1")</f>
        <v>0</v>
      </c>
      <c r="I113" s="24">
        <f>COUNTIF('ZANGBA_Cleaned Data'!UB:UB,"1")</f>
        <v>0</v>
      </c>
      <c r="J113" s="24">
        <f>COUNTIF('ZANGBA_Cleaned Data'!UC:UC,"1")</f>
        <v>0</v>
      </c>
      <c r="K113" s="24">
        <f>COUNTIF('ZANGBA_Cleaned Data'!UD:UD,"1")</f>
        <v>0</v>
      </c>
      <c r="L113" s="14"/>
      <c r="M113" s="14"/>
    </row>
    <row r="114" spans="1:13" ht="60.5" x14ac:dyDescent="0.3">
      <c r="A114" s="14"/>
      <c r="B114" s="15"/>
      <c r="C114" s="121" t="s">
        <v>3303</v>
      </c>
      <c r="D114" s="38" t="e">
        <f>D113/(D108+E108)</f>
        <v>#DIV/0!</v>
      </c>
      <c r="E114" s="81" t="e">
        <f>E113/(D108+E108)</f>
        <v>#DIV/0!</v>
      </c>
      <c r="F114" s="81" t="e">
        <f>F113/(D108+E108)</f>
        <v>#DIV/0!</v>
      </c>
      <c r="G114" s="81" t="e">
        <f>G113/(D108+E108)</f>
        <v>#DIV/0!</v>
      </c>
      <c r="H114" s="81" t="e">
        <f>H113/(D108+E108)</f>
        <v>#DIV/0!</v>
      </c>
      <c r="I114" s="81" t="e">
        <f>I113/(D108+E108)</f>
        <v>#DIV/0!</v>
      </c>
      <c r="J114" s="81" t="e">
        <f>J113/(D108+E108)</f>
        <v>#DIV/0!</v>
      </c>
      <c r="K114" s="81" t="e">
        <f>K113/(D108+E108)</f>
        <v>#DIV/0!</v>
      </c>
      <c r="L114" s="14"/>
      <c r="M114" s="14"/>
    </row>
    <row r="115" spans="1:13" x14ac:dyDescent="0.3">
      <c r="A115" s="14"/>
      <c r="B115" s="15"/>
      <c r="C115" s="14"/>
      <c r="D115" s="14"/>
      <c r="E115" s="14"/>
      <c r="F115" s="14"/>
      <c r="G115" s="14"/>
      <c r="H115" s="14"/>
      <c r="I115" s="14"/>
      <c r="J115" s="14"/>
      <c r="K115" s="14"/>
      <c r="L115" s="14"/>
      <c r="M115" s="14"/>
    </row>
    <row r="116" spans="1:13" x14ac:dyDescent="0.3">
      <c r="A116" s="14"/>
      <c r="B116" s="15"/>
      <c r="C116" s="42" t="s">
        <v>1227</v>
      </c>
      <c r="D116" s="14"/>
      <c r="E116" s="103" t="s">
        <v>3245</v>
      </c>
      <c r="F116" s="14"/>
      <c r="G116" s="14"/>
      <c r="H116" s="14"/>
      <c r="I116" s="14"/>
      <c r="J116" s="14"/>
      <c r="K116" s="14"/>
      <c r="L116" s="14"/>
      <c r="M116" s="14"/>
    </row>
    <row r="117" spans="1:13" s="36" customFormat="1" ht="42" x14ac:dyDescent="0.3">
      <c r="A117" s="47"/>
      <c r="B117" s="48"/>
      <c r="C117" s="24"/>
      <c r="D117" s="11" t="s">
        <v>1465</v>
      </c>
      <c r="E117" s="11" t="s">
        <v>2073</v>
      </c>
      <c r="F117" s="11" t="s">
        <v>1466</v>
      </c>
      <c r="G117" s="11" t="s">
        <v>1467</v>
      </c>
      <c r="H117" s="11" t="s">
        <v>2074</v>
      </c>
      <c r="I117" s="11" t="s">
        <v>1468</v>
      </c>
      <c r="J117" s="11" t="s">
        <v>1905</v>
      </c>
      <c r="K117" s="11" t="s">
        <v>1205</v>
      </c>
      <c r="L117" s="47"/>
      <c r="M117" s="47"/>
    </row>
    <row r="118" spans="1:13" x14ac:dyDescent="0.3">
      <c r="A118" s="14"/>
      <c r="B118" s="15"/>
      <c r="C118" s="24" t="s">
        <v>1207</v>
      </c>
      <c r="D118" s="24">
        <f>COUNTIF('ZANGBA_Cleaned Data'!TM:TM,"1")</f>
        <v>0</v>
      </c>
      <c r="E118" s="24">
        <f>COUNTIF('ZANGBA_Cleaned Data'!TN:TN,"1")</f>
        <v>0</v>
      </c>
      <c r="F118" s="24">
        <f>COUNTIF('ZANGBA_Cleaned Data'!TO:TO,"1")</f>
        <v>0</v>
      </c>
      <c r="G118" s="24">
        <f>COUNTIF('ZANGBA_Cleaned Data'!TP:TP,"1")</f>
        <v>0</v>
      </c>
      <c r="H118" s="24">
        <f>COUNTIF('ZANGBA_Cleaned Data'!TQ:TQ,"1")</f>
        <v>0</v>
      </c>
      <c r="I118" s="24">
        <f>COUNTIF('ZANGBA_Cleaned Data'!TR:TR,"1")</f>
        <v>0</v>
      </c>
      <c r="J118" s="24">
        <f>COUNTIF('ZANGBA_Cleaned Data'!TS:TS,"1")</f>
        <v>0</v>
      </c>
      <c r="K118" s="24">
        <f>COUNTIF('ZANGBA_Cleaned Data'!TT:TT,"1")</f>
        <v>0</v>
      </c>
      <c r="L118" s="14"/>
      <c r="M118" s="14"/>
    </row>
    <row r="119" spans="1:13" ht="60.5" x14ac:dyDescent="0.3">
      <c r="A119" s="14"/>
      <c r="B119" s="15"/>
      <c r="C119" s="121" t="s">
        <v>3304</v>
      </c>
      <c r="D119" s="39" t="e">
        <f>D118/(F108+G108)</f>
        <v>#DIV/0!</v>
      </c>
      <c r="E119" s="39" t="e">
        <f>E118/(F108+G108)</f>
        <v>#DIV/0!</v>
      </c>
      <c r="F119" s="39" t="e">
        <f>F118/(F108+G108)</f>
        <v>#DIV/0!</v>
      </c>
      <c r="G119" s="39" t="e">
        <f>G118/(F108+G108)</f>
        <v>#DIV/0!</v>
      </c>
      <c r="H119" s="39" t="e">
        <f>H118/(F108+G108)</f>
        <v>#DIV/0!</v>
      </c>
      <c r="I119" s="39" t="e">
        <f>I118/(F108+G108)</f>
        <v>#DIV/0!</v>
      </c>
      <c r="J119" s="39" t="e">
        <f>J118/(F108+G108)</f>
        <v>#DIV/0!</v>
      </c>
      <c r="K119" s="39" t="e">
        <f>K118/(F108+G108)</f>
        <v>#DIV/0!</v>
      </c>
      <c r="L119" s="14"/>
      <c r="M119" s="14"/>
    </row>
    <row r="120" spans="1:13" x14ac:dyDescent="0.3">
      <c r="A120" s="14"/>
      <c r="B120" s="15"/>
      <c r="C120" s="14"/>
      <c r="D120" s="14"/>
      <c r="E120" s="14"/>
      <c r="F120" s="14"/>
      <c r="G120" s="14"/>
      <c r="H120" s="14"/>
      <c r="I120" s="14"/>
      <c r="J120" s="14"/>
      <c r="K120" s="14"/>
      <c r="L120" s="14"/>
      <c r="M120" s="14"/>
    </row>
    <row r="121" spans="1:13" ht="15.5" x14ac:dyDescent="0.35">
      <c r="A121" s="29" t="s">
        <v>1432</v>
      </c>
      <c r="C121" s="103" t="s">
        <v>3245</v>
      </c>
    </row>
    <row r="122" spans="1:13" ht="28" x14ac:dyDescent="0.3">
      <c r="A122" s="3"/>
      <c r="B122" s="8" t="s">
        <v>1433</v>
      </c>
      <c r="C122" s="8" t="s">
        <v>2056</v>
      </c>
      <c r="D122" s="8" t="s">
        <v>2057</v>
      </c>
      <c r="E122" s="8" t="s">
        <v>2058</v>
      </c>
      <c r="F122" s="8" t="s">
        <v>1905</v>
      </c>
      <c r="G122" s="8" t="s">
        <v>1205</v>
      </c>
    </row>
    <row r="123" spans="1:13" x14ac:dyDescent="0.3">
      <c r="A123" s="3" t="s">
        <v>1207</v>
      </c>
      <c r="B123" s="3">
        <f>COUNTIF('ZANGBA_Cleaned Data'!QR:QR,"1")</f>
        <v>0</v>
      </c>
      <c r="C123" s="3">
        <f>COUNTIF('ZANGBA_Cleaned Data'!QS:QS,"1")</f>
        <v>2</v>
      </c>
      <c r="D123" s="3">
        <f>COUNTIF('ZANGBA_Cleaned Data'!QV:QV,"1")</f>
        <v>0</v>
      </c>
      <c r="E123" s="3">
        <f>COUNTIF('ZANGBA_Cleaned Data'!QW:QW,"1")</f>
        <v>1</v>
      </c>
      <c r="F123" s="3">
        <f>COUNTIF('ZANGBA_Cleaned Data'!QT:QT,"1")</f>
        <v>0</v>
      </c>
      <c r="G123" s="3">
        <f>COUNTIF('ZANGBA_Cleaned Data'!QU:QU,"1")</f>
        <v>2</v>
      </c>
    </row>
    <row r="124" spans="1:13" s="36" customFormat="1" ht="37" x14ac:dyDescent="0.3">
      <c r="A124" s="54" t="s">
        <v>3301</v>
      </c>
      <c r="B124" s="94">
        <f>B123/$E$9</f>
        <v>0</v>
      </c>
      <c r="C124" s="94">
        <f t="shared" ref="C124:G124" si="10">C123/$E$9</f>
        <v>1</v>
      </c>
      <c r="D124" s="94">
        <f t="shared" si="10"/>
        <v>0</v>
      </c>
      <c r="E124" s="94">
        <f t="shared" si="10"/>
        <v>0.5</v>
      </c>
      <c r="F124" s="94">
        <f t="shared" si="10"/>
        <v>0</v>
      </c>
      <c r="G124" s="94">
        <f t="shared" si="10"/>
        <v>1</v>
      </c>
    </row>
    <row r="125" spans="1:13" x14ac:dyDescent="0.3">
      <c r="G125" s="74" t="s">
        <v>3357</v>
      </c>
    </row>
    <row r="126" spans="1:13" x14ac:dyDescent="0.3">
      <c r="F126" s="74"/>
    </row>
    <row r="127" spans="1:13" ht="15.5" x14ac:dyDescent="0.35">
      <c r="A127" s="29" t="s">
        <v>1434</v>
      </c>
    </row>
    <row r="128" spans="1:13" x14ac:dyDescent="0.3">
      <c r="A128" s="3"/>
      <c r="B128" s="8" t="s">
        <v>1210</v>
      </c>
      <c r="C128" s="8" t="s">
        <v>1209</v>
      </c>
      <c r="D128" s="110" t="s">
        <v>1206</v>
      </c>
    </row>
    <row r="129" spans="1:6" x14ac:dyDescent="0.3">
      <c r="A129" s="3" t="s">
        <v>1207</v>
      </c>
      <c r="B129" s="3">
        <f>COUNTIF('ZANGBA_Cleaned Data'!QY:QY,"oui")</f>
        <v>0</v>
      </c>
      <c r="C129" s="3">
        <f>COUNTIF('ZANGBA_Cleaned Data'!QY:QY,"non")</f>
        <v>2</v>
      </c>
      <c r="D129" s="111">
        <f>SUM(B129:C129)</f>
        <v>2</v>
      </c>
    </row>
    <row r="130" spans="1:6" s="36" customFormat="1" ht="37" x14ac:dyDescent="0.3">
      <c r="A130" s="54" t="s">
        <v>3301</v>
      </c>
      <c r="B130" s="94">
        <f>(B129/$E$9)</f>
        <v>0</v>
      </c>
      <c r="C130" s="94">
        <f>(C129/$E$9)</f>
        <v>1</v>
      </c>
      <c r="D130" s="100">
        <f>SUM(B130:C130)</f>
        <v>1</v>
      </c>
    </row>
    <row r="132" spans="1:6" x14ac:dyDescent="0.3">
      <c r="B132" s="18" t="s">
        <v>1435</v>
      </c>
      <c r="D132" s="103" t="s">
        <v>3245</v>
      </c>
      <c r="E132" s="21"/>
    </row>
    <row r="133" spans="1:6" ht="28" x14ac:dyDescent="0.3">
      <c r="B133" s="6" t="s">
        <v>1436</v>
      </c>
      <c r="C133" s="6" t="s">
        <v>1437</v>
      </c>
      <c r="D133" s="6" t="s">
        <v>1438</v>
      </c>
      <c r="E133" s="6" t="s">
        <v>3259</v>
      </c>
      <c r="F133" s="6" t="s">
        <v>1205</v>
      </c>
    </row>
    <row r="134" spans="1:6" x14ac:dyDescent="0.3">
      <c r="B134" s="3">
        <f>COUNTIF('ZANGBA_Cleaned Data'!RA:RA,"1")</f>
        <v>0</v>
      </c>
      <c r="C134" s="3">
        <f>COUNTIF('ZANGBA_Cleaned Data'!RB:RB,"1")</f>
        <v>0</v>
      </c>
      <c r="D134" s="3">
        <f>COUNTIF('ZANGBA_Cleaned Data'!RC:RC,"1")</f>
        <v>0</v>
      </c>
      <c r="E134" s="3">
        <f>COUNTIF('ZANGBA_Cleaned Data'!RD:RD,"1")</f>
        <v>0</v>
      </c>
      <c r="F134" s="3">
        <f>COUNTIF('ZANGBA_Cleaned Data'!RE:RE,"1")</f>
        <v>0</v>
      </c>
    </row>
    <row r="137" spans="1:6" x14ac:dyDescent="0.3">
      <c r="A137" s="21" t="s">
        <v>1302</v>
      </c>
    </row>
    <row r="138" spans="1:6" ht="33.5" customHeight="1" x14ac:dyDescent="0.3">
      <c r="A138" s="154" t="s">
        <v>1439</v>
      </c>
      <c r="B138" s="154"/>
      <c r="C138" s="154"/>
      <c r="D138" s="154"/>
      <c r="E138" s="44">
        <f>AVERAGE('ZANGBA_Cleaned Data'!RG:RG)</f>
        <v>50</v>
      </c>
    </row>
    <row r="140" spans="1:6" ht="15.5" x14ac:dyDescent="0.35">
      <c r="A140" s="29" t="s">
        <v>1440</v>
      </c>
    </row>
    <row r="141" spans="1:6" x14ac:dyDescent="0.3">
      <c r="A141" s="3"/>
      <c r="B141" s="8" t="s">
        <v>1210</v>
      </c>
      <c r="C141" s="8" t="s">
        <v>1209</v>
      </c>
      <c r="D141" s="110" t="s">
        <v>1206</v>
      </c>
    </row>
    <row r="142" spans="1:6" x14ac:dyDescent="0.3">
      <c r="A142" s="3" t="s">
        <v>1207</v>
      </c>
      <c r="B142" s="3">
        <f>COUNTIF('ZANGBA_Cleaned Data'!RH:RH,"oui")</f>
        <v>2</v>
      </c>
      <c r="C142" s="3">
        <f>COUNTIF('ZANGBA_Cleaned Data'!RH:RH,"non")</f>
        <v>0</v>
      </c>
      <c r="D142" s="111">
        <f>SUM(B142:C142)</f>
        <v>2</v>
      </c>
    </row>
    <row r="143" spans="1:6" s="36" customFormat="1" ht="37" x14ac:dyDescent="0.3">
      <c r="A143" s="54" t="s">
        <v>3301</v>
      </c>
      <c r="B143" s="94">
        <f>(B142/$E$9)</f>
        <v>1</v>
      </c>
      <c r="C143" s="94">
        <f>(C142/$E$9)</f>
        <v>0</v>
      </c>
      <c r="D143" s="100">
        <f>SUM(B143:C143)</f>
        <v>1</v>
      </c>
    </row>
    <row r="145" spans="1:13" x14ac:dyDescent="0.3">
      <c r="B145" s="18" t="s">
        <v>1441</v>
      </c>
    </row>
    <row r="146" spans="1:13" ht="28" x14ac:dyDescent="0.3">
      <c r="B146" s="3"/>
      <c r="C146" s="12" t="s">
        <v>1226</v>
      </c>
      <c r="D146" s="12" t="s">
        <v>1405</v>
      </c>
      <c r="E146" s="12" t="s">
        <v>1225</v>
      </c>
      <c r="F146" s="12" t="s">
        <v>1404</v>
      </c>
      <c r="G146" s="110" t="s">
        <v>1206</v>
      </c>
    </row>
    <row r="147" spans="1:13" x14ac:dyDescent="0.3">
      <c r="B147" s="3" t="s">
        <v>1207</v>
      </c>
      <c r="C147" s="3">
        <f>COUNTIF('ZANGBA_Cleaned Data'!RI:RI,"bcp_diminue")</f>
        <v>0</v>
      </c>
      <c r="D147" s="3">
        <f>COUNTIF('ZANGBA_Cleaned Data'!RI:RI,"peu_diminue")</f>
        <v>1</v>
      </c>
      <c r="E147" s="3">
        <f>COUNTIF('ZANGBA_Cleaned Data'!RI:RI,"bcp_augmente")</f>
        <v>0</v>
      </c>
      <c r="F147" s="3">
        <f>COUNTIF('ZANGBA_Cleaned Data'!RI:RI,"peu_augmente")</f>
        <v>1</v>
      </c>
      <c r="G147" s="111">
        <f>SUM(C147:F147)</f>
        <v>2</v>
      </c>
    </row>
    <row r="148" spans="1:13" ht="49" x14ac:dyDescent="0.3">
      <c r="B148" s="53" t="s">
        <v>3306</v>
      </c>
      <c r="C148" s="7">
        <f>(C147/$B$142)</f>
        <v>0</v>
      </c>
      <c r="D148" s="7">
        <f>(D147/$B$142)</f>
        <v>0.5</v>
      </c>
      <c r="E148" s="7">
        <f>(E147/$B$142)</f>
        <v>0</v>
      </c>
      <c r="F148" s="7">
        <f>(F147/$B$142)</f>
        <v>0.5</v>
      </c>
      <c r="G148" s="100">
        <f>SUM(C148:F148)</f>
        <v>1</v>
      </c>
    </row>
    <row r="150" spans="1:13" x14ac:dyDescent="0.3">
      <c r="C150" s="18" t="s">
        <v>1310</v>
      </c>
      <c r="E150" s="103" t="s">
        <v>3245</v>
      </c>
    </row>
    <row r="151" spans="1:13" s="36" customFormat="1" ht="73.5" customHeight="1" x14ac:dyDescent="0.3">
      <c r="C151" s="3"/>
      <c r="D151" s="11" t="s">
        <v>2061</v>
      </c>
      <c r="E151" s="11" t="s">
        <v>2062</v>
      </c>
      <c r="F151" s="11" t="s">
        <v>2063</v>
      </c>
      <c r="G151" s="11" t="s">
        <v>2064</v>
      </c>
      <c r="H151" s="11" t="s">
        <v>2065</v>
      </c>
      <c r="I151" s="11" t="s">
        <v>1905</v>
      </c>
      <c r="J151" s="11" t="s">
        <v>1205</v>
      </c>
      <c r="K151" s="10"/>
      <c r="L151" s="10"/>
      <c r="M151" s="10"/>
    </row>
    <row r="152" spans="1:13" x14ac:dyDescent="0.3">
      <c r="C152" s="3" t="s">
        <v>1207</v>
      </c>
      <c r="D152" s="3">
        <f>COUNTIF('ZANGBA_Cleaned Data'!RW:RW,"1")</f>
        <v>0</v>
      </c>
      <c r="E152" s="3">
        <f>COUNTIF('ZANGBA_Cleaned Data'!RX:RX,"1")</f>
        <v>0</v>
      </c>
      <c r="F152" s="3">
        <f>COUNTIF('ZANGBA_Cleaned Data'!RY:RY,"1")</f>
        <v>0</v>
      </c>
      <c r="G152" s="3">
        <f>COUNTIF('ZANGBA_Cleaned Data'!RZ:RZ,"1")</f>
        <v>0</v>
      </c>
      <c r="H152" s="3">
        <f>COUNTIF('ZANGBA_Cleaned Data'!SA:SA,"1")</f>
        <v>0</v>
      </c>
      <c r="I152" s="3">
        <f>COUNTIF('ZANGBA_Cleaned Data'!SB:SB,"1")</f>
        <v>0</v>
      </c>
      <c r="J152" s="3">
        <f>COUNTIF('ZANGBA_Cleaned Data'!SC:SC,"1")</f>
        <v>1</v>
      </c>
    </row>
    <row r="153" spans="1:13" ht="49" x14ac:dyDescent="0.3">
      <c r="C153" s="53" t="s">
        <v>3307</v>
      </c>
      <c r="D153" s="78">
        <f>D152/(C147+D147)</f>
        <v>0</v>
      </c>
      <c r="E153" s="78">
        <f>E152/(C147+D147)</f>
        <v>0</v>
      </c>
      <c r="F153" s="78">
        <f>F152/(C147+D147)</f>
        <v>0</v>
      </c>
      <c r="G153" s="78">
        <f>G152/(C147+D147)</f>
        <v>0</v>
      </c>
      <c r="H153" s="78">
        <f>H152/(C147+D147)</f>
        <v>0</v>
      </c>
      <c r="I153" s="78">
        <f>I152/(C147+D147)</f>
        <v>0</v>
      </c>
      <c r="J153" s="78">
        <f>J152/(C147+D147)</f>
        <v>1</v>
      </c>
    </row>
    <row r="154" spans="1:13" x14ac:dyDescent="0.3">
      <c r="C154" s="14"/>
      <c r="D154" s="14"/>
      <c r="E154" s="14"/>
      <c r="F154" s="14"/>
      <c r="G154" s="14"/>
      <c r="H154" s="14"/>
      <c r="I154" s="14"/>
      <c r="J154" s="149" t="s">
        <v>3393</v>
      </c>
    </row>
    <row r="155" spans="1:13" x14ac:dyDescent="0.3">
      <c r="C155" s="18" t="s">
        <v>1227</v>
      </c>
      <c r="E155" s="103" t="s">
        <v>3245</v>
      </c>
    </row>
    <row r="156" spans="1:13" s="36" customFormat="1" ht="73.5" customHeight="1" x14ac:dyDescent="0.3">
      <c r="C156" s="3"/>
      <c r="D156" s="11" t="s">
        <v>1228</v>
      </c>
      <c r="E156" s="11" t="s">
        <v>2340</v>
      </c>
      <c r="F156" s="11" t="s">
        <v>1442</v>
      </c>
      <c r="G156" s="11" t="s">
        <v>1443</v>
      </c>
      <c r="H156" s="11" t="s">
        <v>1444</v>
      </c>
      <c r="I156" s="11" t="s">
        <v>1445</v>
      </c>
      <c r="J156" s="11" t="s">
        <v>1446</v>
      </c>
      <c r="K156" s="11" t="s">
        <v>1447</v>
      </c>
      <c r="L156" s="11" t="s">
        <v>1905</v>
      </c>
      <c r="M156" s="11" t="s">
        <v>1220</v>
      </c>
    </row>
    <row r="157" spans="1:13" x14ac:dyDescent="0.3">
      <c r="C157" s="3" t="s">
        <v>1207</v>
      </c>
      <c r="D157" s="3">
        <f>COUNTIF('ZANGBA_Cleaned Data'!RK:RK,"1")</f>
        <v>0</v>
      </c>
      <c r="E157" s="3">
        <f>COUNTIF('ZANGBA_Cleaned Data'!RL:RL,"1")</f>
        <v>0</v>
      </c>
      <c r="F157" s="3">
        <f>COUNTIF('ZANGBA_Cleaned Data'!RM:RM,"1")</f>
        <v>0</v>
      </c>
      <c r="G157" s="3">
        <f>COUNTIF('ZANGBA_Cleaned Data'!RN:RN,"1")</f>
        <v>0</v>
      </c>
      <c r="H157" s="3">
        <f>COUNTIF('ZANGBA_Cleaned Data'!RO:RO,"1")</f>
        <v>1</v>
      </c>
      <c r="I157" s="3">
        <f>COUNTIF('ZANGBA_Cleaned Data'!RP:RP,"1")</f>
        <v>1</v>
      </c>
      <c r="J157" s="3">
        <f>COUNTIF('ZANGBA_Cleaned Data'!RQ:RQ,"1")</f>
        <v>0</v>
      </c>
      <c r="K157" s="3">
        <f>COUNTIF('ZANGBA_Cleaned Data'!RR:RR,"1")</f>
        <v>0</v>
      </c>
      <c r="L157" s="3">
        <f>COUNTIF('ZANGBA_Cleaned Data'!RS:RS,"1")</f>
        <v>0</v>
      </c>
      <c r="M157" s="3">
        <f>COUNTIF('ZANGBA_Cleaned Data'!RT:RT,"1")</f>
        <v>0</v>
      </c>
    </row>
    <row r="158" spans="1:13" ht="49" x14ac:dyDescent="0.3">
      <c r="C158" s="53" t="s">
        <v>3308</v>
      </c>
      <c r="D158" s="7">
        <f>D157/(E147+F147)</f>
        <v>0</v>
      </c>
      <c r="E158" s="7">
        <f>E157/(E147+F147)</f>
        <v>0</v>
      </c>
      <c r="F158" s="7">
        <f>F157/(E147+F147)</f>
        <v>0</v>
      </c>
      <c r="G158" s="7">
        <f>G157/(E147+F147)</f>
        <v>0</v>
      </c>
      <c r="H158" s="7">
        <f>H157/(E147+F147)</f>
        <v>1</v>
      </c>
      <c r="I158" s="7">
        <f>I157/(E147+F147)</f>
        <v>1</v>
      </c>
      <c r="J158" s="7">
        <f>J157/(E147+F147)</f>
        <v>0</v>
      </c>
      <c r="K158" s="7">
        <f>K157/(E147+F147)</f>
        <v>0</v>
      </c>
      <c r="L158" s="7">
        <f>L157/(E147+F147)</f>
        <v>0</v>
      </c>
      <c r="M158" s="7">
        <f>M157/(E147+F147)</f>
        <v>0</v>
      </c>
    </row>
    <row r="159" spans="1:13" x14ac:dyDescent="0.3">
      <c r="C159" s="50"/>
    </row>
    <row r="160" spans="1:13" ht="15.5" x14ac:dyDescent="0.35">
      <c r="A160" s="29" t="s">
        <v>1448</v>
      </c>
    </row>
    <row r="161" spans="1:8" ht="28" x14ac:dyDescent="0.3">
      <c r="A161" s="3"/>
      <c r="B161" s="8" t="s">
        <v>1449</v>
      </c>
      <c r="C161" s="8" t="s">
        <v>1450</v>
      </c>
      <c r="D161" s="8" t="s">
        <v>1451</v>
      </c>
      <c r="E161" s="8" t="s">
        <v>1452</v>
      </c>
      <c r="F161" s="8" t="s">
        <v>1453</v>
      </c>
      <c r="G161" s="8" t="s">
        <v>1905</v>
      </c>
      <c r="H161" s="110" t="s">
        <v>1206</v>
      </c>
    </row>
    <row r="162" spans="1:8" x14ac:dyDescent="0.3">
      <c r="A162" s="3" t="s">
        <v>1207</v>
      </c>
      <c r="B162" s="3">
        <f>COUNTIF('ZANGBA_Cleaned Data'!SE:SE,"fortement_sur:utilise")</f>
        <v>0</v>
      </c>
      <c r="C162" s="3">
        <f>COUNTIF('ZANGBA_Cleaned Data'!SE:SE,"sur_utilise")</f>
        <v>0</v>
      </c>
      <c r="D162" s="3">
        <f>COUNTIF('ZANGBA_Cleaned Data'!SE:SE,"ok")</f>
        <v>0</v>
      </c>
      <c r="E162" s="3">
        <f>COUNTIF('ZANGBA_Cleaned Data'!SE:SE,"sous_utilise")</f>
        <v>0</v>
      </c>
      <c r="F162" s="3">
        <f>COUNTIF('ZANGBA_Cleaned Data'!SE:SE,"fortement_sous_utilise")</f>
        <v>2</v>
      </c>
      <c r="G162" s="3">
        <f>COUNTIF('ZANGBA_Cleaned Data'!SE:SE,"nsp")</f>
        <v>0</v>
      </c>
      <c r="H162" s="111">
        <f>SUM(B162:G162)</f>
        <v>2</v>
      </c>
    </row>
    <row r="163" spans="1:8" s="36" customFormat="1" ht="37" x14ac:dyDescent="0.3">
      <c r="A163" s="54" t="s">
        <v>3301</v>
      </c>
      <c r="B163" s="94">
        <f>B162/$E$9</f>
        <v>0</v>
      </c>
      <c r="C163" s="94">
        <f t="shared" ref="C163:G163" si="11">C162/$E$9</f>
        <v>0</v>
      </c>
      <c r="D163" s="94">
        <f t="shared" si="11"/>
        <v>0</v>
      </c>
      <c r="E163" s="94">
        <f t="shared" si="11"/>
        <v>0</v>
      </c>
      <c r="F163" s="94">
        <f t="shared" si="11"/>
        <v>1</v>
      </c>
      <c r="G163" s="94">
        <f t="shared" si="11"/>
        <v>0</v>
      </c>
      <c r="H163" s="100">
        <f>SUM(B163:G163)</f>
        <v>1</v>
      </c>
    </row>
    <row r="166" spans="1:8" ht="15.5" x14ac:dyDescent="0.3">
      <c r="A166" s="80" t="s">
        <v>1454</v>
      </c>
      <c r="E166" s="132">
        <f>AVERAGE('ZANGBA_Cleaned Data'!SF:SF)</f>
        <v>15</v>
      </c>
    </row>
    <row r="167" spans="1:8" ht="15.5" x14ac:dyDescent="0.35">
      <c r="A167" s="79" t="s">
        <v>1455</v>
      </c>
      <c r="E167" s="21">
        <f>AVERAGE('ZANGBA_Cleaned Data'!SG:SG)</f>
        <v>1</v>
      </c>
    </row>
    <row r="168" spans="1:8" ht="15.5" x14ac:dyDescent="0.35">
      <c r="A168" s="29" t="s">
        <v>1456</v>
      </c>
      <c r="E168" s="10">
        <f>AVERAGE('ZANGBA_Cleaned Data'!SH:SH)</f>
        <v>1</v>
      </c>
    </row>
    <row r="169" spans="1:8" ht="15.5" x14ac:dyDescent="0.35">
      <c r="A169" s="29" t="s">
        <v>1457</v>
      </c>
      <c r="E169" s="10">
        <f>AVERAGE('ZANGBA_Cleaned Data'!SI:SI)</f>
        <v>3.5</v>
      </c>
    </row>
    <row r="170" spans="1:8" ht="15.5" x14ac:dyDescent="0.35">
      <c r="A170" s="29" t="s">
        <v>1458</v>
      </c>
      <c r="E170" s="10">
        <f>AVERAGE('ZANGBA_Cleaned Data'!SJ:SJ)</f>
        <v>0</v>
      </c>
    </row>
    <row r="171" spans="1:8" ht="15.5" x14ac:dyDescent="0.35">
      <c r="A171" s="29" t="s">
        <v>1459</v>
      </c>
      <c r="E171" s="10">
        <f>AVERAGE('ZANGBA_Cleaned Data'!SK:SK)</f>
        <v>0</v>
      </c>
    </row>
    <row r="172" spans="1:8" ht="15.5" x14ac:dyDescent="0.35">
      <c r="A172" s="79" t="s">
        <v>1460</v>
      </c>
      <c r="B172" s="21"/>
      <c r="C172" s="21"/>
      <c r="D172" s="21"/>
      <c r="E172" s="21">
        <f>AVERAGE('ZANGBA_Cleaned Data'!SL:SL)</f>
        <v>2</v>
      </c>
    </row>
    <row r="173" spans="1:8" ht="15.5" x14ac:dyDescent="0.35">
      <c r="A173" s="29" t="s">
        <v>1461</v>
      </c>
      <c r="E173" s="10">
        <f>AVERAGE('ZANGBA_Cleaned Data'!SM:SM)</f>
        <v>5</v>
      </c>
    </row>
    <row r="174" spans="1:8" x14ac:dyDescent="0.3">
      <c r="A174" s="147" t="s">
        <v>3389</v>
      </c>
    </row>
    <row r="175" spans="1:8" x14ac:dyDescent="0.3">
      <c r="A175" s="147"/>
    </row>
    <row r="176" spans="1:8" ht="15.5" x14ac:dyDescent="0.35">
      <c r="A176" s="9" t="s">
        <v>1296</v>
      </c>
    </row>
    <row r="177" spans="1:8" ht="15.5" x14ac:dyDescent="0.35">
      <c r="A177" s="29" t="s">
        <v>1469</v>
      </c>
    </row>
    <row r="178" spans="1:8" x14ac:dyDescent="0.3">
      <c r="A178" s="3"/>
      <c r="B178" s="8" t="s">
        <v>1471</v>
      </c>
      <c r="C178" s="8" t="s">
        <v>1472</v>
      </c>
      <c r="D178" s="8" t="s">
        <v>1473</v>
      </c>
      <c r="E178" s="8" t="s">
        <v>1470</v>
      </c>
      <c r="F178" s="8" t="s">
        <v>3259</v>
      </c>
      <c r="G178" s="8" t="s">
        <v>1220</v>
      </c>
      <c r="H178" s="110" t="s">
        <v>1206</v>
      </c>
    </row>
    <row r="179" spans="1:8" x14ac:dyDescent="0.3">
      <c r="A179" s="3" t="s">
        <v>1207</v>
      </c>
      <c r="B179" s="3">
        <f>COUNTIF('ZANGBA_Cleaned Data'!UM:UM,"public")</f>
        <v>1</v>
      </c>
      <c r="C179" s="3">
        <f>COUNTIF('ZANGBA_Cleaned Data'!UM:UM,"prive")</f>
        <v>1</v>
      </c>
      <c r="D179" s="3">
        <f>COUNTIF('ZANGBA_Cleaned Data'!UM:UM,"religieux")</f>
        <v>0</v>
      </c>
      <c r="E179" s="3">
        <f>COUNTIF('ZANGBA_Cleaned Data'!UM:UM,"ong")</f>
        <v>0</v>
      </c>
      <c r="F179" s="3">
        <f>COUNTIF('ZANGBA_Cleaned Data'!UM:UM,"nsp")</f>
        <v>0</v>
      </c>
      <c r="G179" s="123">
        <f>COUNTIF('ZANGBA_Cleaned Data'!UM:UM,"autre")</f>
        <v>0</v>
      </c>
      <c r="H179" s="111">
        <f>SUM(B179:G179)</f>
        <v>2</v>
      </c>
    </row>
    <row r="180" spans="1:8" s="36" customFormat="1" ht="37" x14ac:dyDescent="0.3">
      <c r="A180" s="54" t="s">
        <v>3309</v>
      </c>
      <c r="B180" s="94">
        <f t="shared" ref="B180:G180" si="12">B179/$C$4</f>
        <v>0.5</v>
      </c>
      <c r="C180" s="94">
        <f t="shared" si="12"/>
        <v>0.5</v>
      </c>
      <c r="D180" s="94">
        <f t="shared" si="12"/>
        <v>0</v>
      </c>
      <c r="E180" s="94">
        <f t="shared" si="12"/>
        <v>0</v>
      </c>
      <c r="F180" s="94">
        <f t="shared" si="12"/>
        <v>0</v>
      </c>
      <c r="G180" s="94">
        <f t="shared" si="12"/>
        <v>0</v>
      </c>
      <c r="H180" s="100">
        <f>SUM(B180:G180)</f>
        <v>1</v>
      </c>
    </row>
    <row r="181" spans="1:8" x14ac:dyDescent="0.3">
      <c r="A181" s="14"/>
      <c r="B181" s="14"/>
      <c r="C181" s="14"/>
      <c r="D181" s="14"/>
      <c r="E181" s="14"/>
      <c r="F181" s="14"/>
    </row>
    <row r="182" spans="1:8" ht="15.5" x14ac:dyDescent="0.35">
      <c r="A182" s="45" t="s">
        <v>1474</v>
      </c>
      <c r="B182" s="14"/>
      <c r="C182" s="14"/>
      <c r="D182" s="14"/>
      <c r="E182" s="14"/>
      <c r="F182" s="14"/>
    </row>
    <row r="183" spans="1:8" x14ac:dyDescent="0.3">
      <c r="A183" s="3"/>
      <c r="B183" s="8" t="s">
        <v>1210</v>
      </c>
      <c r="C183" s="8" t="s">
        <v>1209</v>
      </c>
      <c r="D183" s="110" t="s">
        <v>1206</v>
      </c>
      <c r="E183" s="14"/>
      <c r="F183" s="14"/>
    </row>
    <row r="184" spans="1:8" x14ac:dyDescent="0.3">
      <c r="A184" s="3" t="s">
        <v>1207</v>
      </c>
      <c r="B184" s="3">
        <f>COUNTIF('ZANGBA_Cleaned Data'!UO:UO,"oui")</f>
        <v>2</v>
      </c>
      <c r="C184" s="3">
        <f>COUNTIF('ZANGBA_Cleaned Data'!UO:UO,"non")</f>
        <v>0</v>
      </c>
      <c r="D184" s="111">
        <f>SUM(B184:C184)</f>
        <v>2</v>
      </c>
      <c r="E184" s="14"/>
      <c r="F184" s="14"/>
    </row>
    <row r="185" spans="1:8" s="36" customFormat="1" ht="37" x14ac:dyDescent="0.3">
      <c r="A185" s="54" t="s">
        <v>3309</v>
      </c>
      <c r="B185" s="94">
        <f>(B184/$C$4)</f>
        <v>1</v>
      </c>
      <c r="C185" s="94">
        <f>(C184/$C$4)</f>
        <v>0</v>
      </c>
      <c r="D185" s="100">
        <f>SUM(B185:C185)</f>
        <v>1</v>
      </c>
      <c r="E185" s="47"/>
      <c r="F185" s="47"/>
    </row>
    <row r="186" spans="1:8" ht="15.5" x14ac:dyDescent="0.35">
      <c r="A186" s="9"/>
    </row>
    <row r="187" spans="1:8" ht="15.5" x14ac:dyDescent="0.35">
      <c r="A187" s="29" t="s">
        <v>1298</v>
      </c>
      <c r="D187" s="103" t="s">
        <v>3245</v>
      </c>
    </row>
    <row r="188" spans="1:8" x14ac:dyDescent="0.3">
      <c r="A188" s="3"/>
      <c r="B188" s="8" t="s">
        <v>1250</v>
      </c>
      <c r="C188" s="8" t="s">
        <v>1251</v>
      </c>
      <c r="D188" s="8" t="s">
        <v>1905</v>
      </c>
      <c r="E188" s="8" t="s">
        <v>1205</v>
      </c>
      <c r="F188" s="8" t="s">
        <v>1252</v>
      </c>
    </row>
    <row r="189" spans="1:8" x14ac:dyDescent="0.3">
      <c r="A189" s="3" t="s">
        <v>1207</v>
      </c>
      <c r="B189" s="3">
        <f>COUNTIF('ZANGBA_Cleaned Data'!UG:UG,"1")</f>
        <v>2</v>
      </c>
      <c r="C189" s="3">
        <f>COUNTIF('ZANGBA_Cleaned Data'!UH:UH,"1")</f>
        <v>0</v>
      </c>
      <c r="D189" s="3">
        <f>COUNTIF('ZANGBA_Cleaned Data'!UI:UI,"1")</f>
        <v>0</v>
      </c>
      <c r="E189" s="3">
        <f>COUNTIF('ZANGBA_Cleaned Data'!UJ:UJ,"1")</f>
        <v>1</v>
      </c>
      <c r="F189" s="3">
        <f>COUNTIF('ZANGBA_Cleaned Data'!UK:UK,"1")</f>
        <v>0</v>
      </c>
    </row>
    <row r="190" spans="1:8" s="36" customFormat="1" ht="37" x14ac:dyDescent="0.3">
      <c r="A190" s="54" t="s">
        <v>3309</v>
      </c>
      <c r="B190" s="94">
        <f>B189/$C$4</f>
        <v>1</v>
      </c>
      <c r="C190" s="94">
        <f>C189/$C$4</f>
        <v>0</v>
      </c>
      <c r="D190" s="94">
        <f>D189/$C$4</f>
        <v>0</v>
      </c>
      <c r="E190" s="94">
        <f>E189/$C$4</f>
        <v>0.5</v>
      </c>
      <c r="F190" s="94">
        <f t="shared" ref="F190" si="13">F189/$B$9</f>
        <v>0</v>
      </c>
    </row>
    <row r="192" spans="1:8" ht="15.5" x14ac:dyDescent="0.35">
      <c r="A192" s="29" t="s">
        <v>1299</v>
      </c>
      <c r="D192" s="103" t="s">
        <v>3245</v>
      </c>
    </row>
    <row r="193" spans="1:26" s="36" customFormat="1" ht="76.5" customHeight="1" x14ac:dyDescent="0.35">
      <c r="A193" s="8" t="s">
        <v>1475</v>
      </c>
      <c r="B193" s="8" t="s">
        <v>2075</v>
      </c>
      <c r="C193" s="8" t="s">
        <v>1476</v>
      </c>
      <c r="D193" s="8" t="s">
        <v>1477</v>
      </c>
      <c r="E193" s="8" t="s">
        <v>1478</v>
      </c>
      <c r="F193" s="8" t="s">
        <v>1479</v>
      </c>
      <c r="G193" s="8" t="s">
        <v>1480</v>
      </c>
      <c r="H193" s="8" t="s">
        <v>2076</v>
      </c>
      <c r="I193" s="8" t="s">
        <v>1481</v>
      </c>
      <c r="J193" s="8" t="s">
        <v>1378</v>
      </c>
      <c r="K193" s="8" t="s">
        <v>1482</v>
      </c>
      <c r="L193" s="8" t="s">
        <v>2077</v>
      </c>
      <c r="M193" s="8" t="s">
        <v>2078</v>
      </c>
      <c r="N193" s="8" t="s">
        <v>1381</v>
      </c>
      <c r="O193" s="8" t="s">
        <v>3259</v>
      </c>
      <c r="P193" s="8" t="s">
        <v>1205</v>
      </c>
    </row>
    <row r="194" spans="1:26" x14ac:dyDescent="0.3">
      <c r="A194" s="3">
        <f>COUNTIF('ZANGBA_Cleaned Data'!UQ:UQ,"1")</f>
        <v>1</v>
      </c>
      <c r="B194" s="3">
        <f>COUNTIF('ZANGBA_Cleaned Data'!UR:UR,"1")</f>
        <v>1</v>
      </c>
      <c r="C194" s="3">
        <f>COUNTIF('ZANGBA_Cleaned Data'!US:US,"1")</f>
        <v>2</v>
      </c>
      <c r="D194" s="3">
        <f>COUNTIF('ZANGBA_Cleaned Data'!UT:UT,"1")</f>
        <v>0</v>
      </c>
      <c r="E194" s="3">
        <f>COUNTIF('ZANGBA_Cleaned Data'!UU:UU,"1")</f>
        <v>0</v>
      </c>
      <c r="F194" s="3">
        <f>COUNTIF('ZANGBA_Cleaned Data'!UV:UV,"1")</f>
        <v>1</v>
      </c>
      <c r="G194" s="3">
        <f>COUNTIF('ZANGBA_Cleaned Data'!UW:UW,"1")</f>
        <v>1</v>
      </c>
      <c r="H194" s="3">
        <f>COUNTIF('ZANGBA_Cleaned Data'!UX:UX,"1")</f>
        <v>0</v>
      </c>
      <c r="I194" s="3">
        <f>COUNTIF('ZANGBA_Cleaned Data'!UY:UY,"1")</f>
        <v>0</v>
      </c>
      <c r="J194" s="3">
        <f>COUNTIF('ZANGBA_Cleaned Data'!UZ:UZ,"1")</f>
        <v>0</v>
      </c>
      <c r="K194" s="3">
        <f>COUNTIF('ZANGBA_Cleaned Data'!VA:VA,"1")</f>
        <v>0</v>
      </c>
      <c r="L194" s="3">
        <f>COUNTIF('ZANGBA_Cleaned Data'!VB:VB,"1")</f>
        <v>0</v>
      </c>
      <c r="M194" s="3">
        <f>COUNTIF('ZANGBA_Cleaned Data'!VC:VC,"1")</f>
        <v>0</v>
      </c>
      <c r="N194" s="3">
        <f>COUNTIF('ZANGBA_Cleaned Data'!VD:VD,"1")</f>
        <v>0</v>
      </c>
      <c r="O194" s="3">
        <f>COUNTIF('ZANGBA_Cleaned Data'!VE:VE,"1")</f>
        <v>0</v>
      </c>
      <c r="P194" s="3">
        <f>COUNTIF('ZANGBA_Cleaned Data'!VF:VF,"1")</f>
        <v>0</v>
      </c>
    </row>
    <row r="196" spans="1:26" ht="15.5" x14ac:dyDescent="0.35">
      <c r="A196" s="29" t="s">
        <v>1300</v>
      </c>
      <c r="D196" s="103" t="s">
        <v>3245</v>
      </c>
    </row>
    <row r="197" spans="1:26" ht="28" x14ac:dyDescent="0.3">
      <c r="A197" s="8" t="s">
        <v>1236</v>
      </c>
      <c r="B197" s="8" t="s">
        <v>1256</v>
      </c>
      <c r="C197" s="8" t="s">
        <v>1257</v>
      </c>
      <c r="D197" s="8" t="s">
        <v>1239</v>
      </c>
      <c r="E197" s="8" t="s">
        <v>3359</v>
      </c>
      <c r="F197" s="8" t="s">
        <v>1258</v>
      </c>
      <c r="G197" s="8" t="s">
        <v>1259</v>
      </c>
      <c r="H197" s="8" t="s">
        <v>1260</v>
      </c>
      <c r="I197" s="8" t="s">
        <v>1261</v>
      </c>
      <c r="J197" s="8" t="s">
        <v>1252</v>
      </c>
      <c r="K197" s="8" t="s">
        <v>1905</v>
      </c>
      <c r="L197" s="8" t="s">
        <v>1220</v>
      </c>
    </row>
    <row r="198" spans="1:26" x14ac:dyDescent="0.3">
      <c r="A198" s="24">
        <f>COUNTIF('ZANGBA_Cleaned Data'!VI:VI,"1")</f>
        <v>1</v>
      </c>
      <c r="B198" s="24">
        <f>COUNTIF('ZANGBA_Cleaned Data'!VJ:VJ,"1")</f>
        <v>1</v>
      </c>
      <c r="C198" s="24">
        <f>COUNTIF('ZANGBA_Cleaned Data'!VK:VK,"1")</f>
        <v>0</v>
      </c>
      <c r="D198" s="24">
        <f>COUNTIF('ZANGBA_Cleaned Data'!VL:VL,"1")</f>
        <v>0</v>
      </c>
      <c r="E198" s="24">
        <f>COUNTIF('ZANGBA_Cleaned Data'!VM:VM,"1")</f>
        <v>1</v>
      </c>
      <c r="F198" s="24">
        <f>COUNTIF('ZANGBA_Cleaned Data'!VN:VN,"1")</f>
        <v>0</v>
      </c>
      <c r="G198" s="24">
        <f>COUNTIF('ZANGBA_Cleaned Data'!VO:VO,"1")</f>
        <v>0</v>
      </c>
      <c r="H198" s="24">
        <f>COUNTIF('ZANGBA_Cleaned Data'!VP:VP,"1")</f>
        <v>0</v>
      </c>
      <c r="I198" s="24">
        <f>COUNTIF('ZANGBA_Cleaned Data'!VQ:VQ,"1")</f>
        <v>1</v>
      </c>
      <c r="J198" s="24">
        <f>COUNTIF('ZANGBA_Cleaned Data'!VR:VR,"1")</f>
        <v>0</v>
      </c>
      <c r="K198" s="24">
        <f>COUNTIF('ZANGBA_Cleaned Data'!VS:VS,"1")</f>
        <v>0</v>
      </c>
      <c r="L198" s="24">
        <f>COUNTIF('ZANGBA_Cleaned Data'!VT:VT,"1")</f>
        <v>0</v>
      </c>
    </row>
    <row r="200" spans="1:26" ht="15.5" x14ac:dyDescent="0.35">
      <c r="A200" s="29" t="s">
        <v>1334</v>
      </c>
    </row>
    <row r="201" spans="1:26" x14ac:dyDescent="0.3">
      <c r="A201" s="3"/>
      <c r="B201" s="8" t="s">
        <v>1210</v>
      </c>
      <c r="C201" s="8" t="s">
        <v>1209</v>
      </c>
      <c r="D201" s="110" t="s">
        <v>1206</v>
      </c>
    </row>
    <row r="202" spans="1:26" x14ac:dyDescent="0.3">
      <c r="A202" s="3" t="s">
        <v>1207</v>
      </c>
      <c r="B202" s="24">
        <f>COUNTIF('ZANGBA_Cleaned Data'!VW:VW,"OUI")</f>
        <v>1</v>
      </c>
      <c r="C202" s="24">
        <f>COUNTIF('ZANGBA_Cleaned Data'!VW:VW,"non")</f>
        <v>1</v>
      </c>
      <c r="D202" s="111">
        <f>SUM(B202:C202)</f>
        <v>2</v>
      </c>
    </row>
    <row r="203" spans="1:26" ht="37.5" x14ac:dyDescent="0.3">
      <c r="A203" s="53" t="s">
        <v>3288</v>
      </c>
      <c r="B203" s="39">
        <f>(B202/$C$4)</f>
        <v>0.5</v>
      </c>
      <c r="C203" s="39">
        <f>(C202/$C$4)</f>
        <v>0.5</v>
      </c>
      <c r="D203" s="100">
        <f>SUM(B203:C203)</f>
        <v>1</v>
      </c>
    </row>
    <row r="204" spans="1:26" x14ac:dyDescent="0.3">
      <c r="A204" s="91"/>
      <c r="B204" s="15"/>
      <c r="C204" s="15"/>
    </row>
    <row r="205" spans="1:26" s="1" customFormat="1" x14ac:dyDescent="0.3">
      <c r="A205" s="10"/>
      <c r="B205" s="18" t="s">
        <v>1262</v>
      </c>
      <c r="C205" s="10"/>
      <c r="D205" s="103" t="s">
        <v>3245</v>
      </c>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s="56" customFormat="1" ht="28" x14ac:dyDescent="0.3">
      <c r="A206" s="36"/>
      <c r="B206" s="3"/>
      <c r="C206" s="11" t="s">
        <v>1922</v>
      </c>
      <c r="D206" s="11" t="s">
        <v>1369</v>
      </c>
      <c r="E206" s="11" t="s">
        <v>1923</v>
      </c>
      <c r="F206" s="11" t="s">
        <v>1924</v>
      </c>
      <c r="G206" s="11" t="s">
        <v>1925</v>
      </c>
      <c r="H206" s="11" t="s">
        <v>1905</v>
      </c>
      <c r="I206" s="11" t="s">
        <v>1205</v>
      </c>
      <c r="J206" s="61"/>
      <c r="K206" s="61"/>
      <c r="L206" s="36"/>
      <c r="M206" s="36"/>
      <c r="N206" s="36"/>
      <c r="O206" s="36"/>
      <c r="P206" s="36"/>
      <c r="Q206" s="36"/>
      <c r="R206" s="36"/>
      <c r="S206" s="36"/>
      <c r="T206" s="36"/>
      <c r="U206" s="36"/>
      <c r="V206" s="36"/>
      <c r="W206" s="36"/>
      <c r="X206" s="36"/>
      <c r="Y206" s="36"/>
      <c r="Z206" s="36"/>
    </row>
    <row r="207" spans="1:26" s="1" customFormat="1" x14ac:dyDescent="0.3">
      <c r="A207" s="10"/>
      <c r="B207" s="3" t="s">
        <v>1207</v>
      </c>
      <c r="C207" s="24">
        <f>COUNTIF('ZANGBA_Cleaned Data'!VY:VY,"1")</f>
        <v>0</v>
      </c>
      <c r="D207" s="24">
        <f>COUNTIF('ZANGBA_Cleaned Data'!VZ:VZ,"1")</f>
        <v>0</v>
      </c>
      <c r="E207" s="24">
        <f>COUNTIF('ZANGBA_Cleaned Data'!WA:WA,"1")</f>
        <v>0</v>
      </c>
      <c r="F207" s="24">
        <f>COUNTIF('ZANGBA_Cleaned Data'!WB:WB,"1")</f>
        <v>0</v>
      </c>
      <c r="G207" s="24">
        <f>COUNTIF('ZANGBA_Cleaned Data'!WC:WC,"1")</f>
        <v>1</v>
      </c>
      <c r="H207" s="24">
        <f>COUNTIF('ZANGBA_Cleaned Data'!WD:WD,"1")</f>
        <v>0</v>
      </c>
      <c r="I207" s="24">
        <f>COUNTIF('ZANGBA_Cleaned Data'!WE:WE,"1")</f>
        <v>0</v>
      </c>
      <c r="J207" s="10"/>
      <c r="K207" s="10"/>
      <c r="L207" s="10"/>
      <c r="M207" s="10"/>
      <c r="N207" s="10"/>
      <c r="O207" s="10"/>
      <c r="P207" s="10"/>
      <c r="Q207" s="10"/>
      <c r="R207" s="10"/>
      <c r="S207" s="10"/>
      <c r="T207" s="10"/>
      <c r="U207" s="10"/>
      <c r="V207" s="10"/>
      <c r="W207" s="10"/>
      <c r="X207" s="10"/>
      <c r="Y207" s="10"/>
      <c r="Z207" s="10"/>
    </row>
    <row r="208" spans="1:26" s="1" customFormat="1" ht="37.5" x14ac:dyDescent="0.3">
      <c r="A208" s="10"/>
      <c r="B208" s="53" t="s">
        <v>3310</v>
      </c>
      <c r="C208" s="7">
        <f>C207/$B$202</f>
        <v>0</v>
      </c>
      <c r="D208" s="7">
        <f t="shared" ref="D208:I208" si="14">D207/$B$202</f>
        <v>0</v>
      </c>
      <c r="E208" s="7">
        <f t="shared" si="14"/>
        <v>0</v>
      </c>
      <c r="F208" s="7">
        <f t="shared" si="14"/>
        <v>0</v>
      </c>
      <c r="G208" s="7">
        <f t="shared" si="14"/>
        <v>1</v>
      </c>
      <c r="H208" s="7">
        <f t="shared" si="14"/>
        <v>0</v>
      </c>
      <c r="I208" s="7">
        <f t="shared" si="14"/>
        <v>0</v>
      </c>
      <c r="J208" s="74"/>
      <c r="K208" s="10"/>
      <c r="L208" s="10"/>
      <c r="M208" s="10"/>
      <c r="N208" s="10"/>
      <c r="O208" s="10"/>
      <c r="P208" s="10"/>
      <c r="Q208" s="10"/>
      <c r="R208" s="10"/>
      <c r="S208" s="10"/>
      <c r="T208" s="10"/>
      <c r="U208" s="10"/>
      <c r="V208" s="10"/>
      <c r="W208" s="10"/>
      <c r="X208" s="10"/>
      <c r="Y208" s="10"/>
      <c r="Z208" s="10"/>
    </row>
    <row r="209" spans="1:26" s="1" customFormat="1" x14ac:dyDescent="0.3">
      <c r="A209" s="10"/>
      <c r="B209" s="10"/>
      <c r="C209" s="10"/>
      <c r="D209" s="10"/>
      <c r="E209" s="10"/>
      <c r="F209" s="10"/>
      <c r="G209" s="10"/>
      <c r="H209" s="10"/>
      <c r="I209" s="74"/>
      <c r="J209" s="10"/>
      <c r="K209" s="10"/>
      <c r="L209" s="10"/>
      <c r="M209" s="10"/>
      <c r="N209" s="10"/>
      <c r="O209" s="10"/>
      <c r="P209" s="10"/>
      <c r="Q209" s="10"/>
      <c r="R209" s="10"/>
      <c r="S209" s="10"/>
      <c r="T209" s="10"/>
      <c r="U209" s="10"/>
      <c r="V209" s="10"/>
      <c r="W209" s="10"/>
      <c r="X209" s="10"/>
      <c r="Y209" s="10"/>
      <c r="Z209" s="10"/>
    </row>
    <row r="210" spans="1:26" s="1" customFormat="1" x14ac:dyDescent="0.3">
      <c r="A210" s="10"/>
      <c r="B210" s="10"/>
      <c r="C210" s="10"/>
      <c r="D210" s="10"/>
      <c r="E210" s="10"/>
      <c r="F210" s="10"/>
      <c r="G210" s="10"/>
      <c r="H210" s="10"/>
      <c r="I210" s="74"/>
      <c r="J210" s="10"/>
      <c r="K210" s="10"/>
      <c r="L210" s="10"/>
      <c r="M210" s="10"/>
      <c r="N210" s="10"/>
      <c r="O210" s="10"/>
      <c r="P210" s="10"/>
      <c r="Q210" s="10"/>
      <c r="R210" s="10"/>
      <c r="S210" s="10"/>
      <c r="T210" s="10"/>
      <c r="U210" s="10"/>
      <c r="V210" s="10"/>
      <c r="W210" s="10"/>
      <c r="X210" s="10"/>
      <c r="Y210" s="10"/>
      <c r="Z210" s="10"/>
    </row>
    <row r="211" spans="1:26" s="1" customFormat="1" x14ac:dyDescent="0.3">
      <c r="A211" s="10"/>
      <c r="B211" s="18" t="s">
        <v>1265</v>
      </c>
      <c r="C211" s="10"/>
      <c r="D211" s="103" t="s">
        <v>3245</v>
      </c>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s="56" customFormat="1" ht="56" x14ac:dyDescent="0.3">
      <c r="A212" s="36"/>
      <c r="B212" s="3"/>
      <c r="C212" s="11" t="s">
        <v>1928</v>
      </c>
      <c r="D212" s="11" t="s">
        <v>1926</v>
      </c>
      <c r="E212" s="11" t="s">
        <v>1268</v>
      </c>
      <c r="F212" s="11" t="s">
        <v>1269</v>
      </c>
      <c r="G212" s="11" t="s">
        <v>1927</v>
      </c>
      <c r="H212" s="11" t="s">
        <v>1266</v>
      </c>
      <c r="I212" s="11" t="s">
        <v>1267</v>
      </c>
      <c r="J212" s="11" t="s">
        <v>1929</v>
      </c>
      <c r="K212" s="11" t="s">
        <v>1930</v>
      </c>
      <c r="L212" s="11" t="s">
        <v>1931</v>
      </c>
      <c r="M212" s="11" t="s">
        <v>1932</v>
      </c>
      <c r="N212" s="11" t="s">
        <v>1905</v>
      </c>
      <c r="O212" s="11" t="s">
        <v>1220</v>
      </c>
      <c r="P212" s="61"/>
      <c r="Q212" s="61"/>
      <c r="S212" s="36"/>
      <c r="T212" s="36"/>
      <c r="U212" s="36"/>
      <c r="V212" s="36"/>
      <c r="W212" s="36"/>
      <c r="X212" s="36"/>
      <c r="Y212" s="36"/>
      <c r="Z212" s="36"/>
    </row>
    <row r="213" spans="1:26" s="1" customFormat="1" x14ac:dyDescent="0.3">
      <c r="A213" s="10"/>
      <c r="B213" s="3" t="s">
        <v>1207</v>
      </c>
      <c r="C213" s="24">
        <f>COUNTIF('ZANGBA_Cleaned Data'!WH:WH,"1")</f>
        <v>0</v>
      </c>
      <c r="D213" s="24">
        <f>COUNTIF('ZANGBA_Cleaned Data'!WI:WI,"1")</f>
        <v>0</v>
      </c>
      <c r="E213" s="24">
        <f>COUNTIF('ZANGBA_Cleaned Data'!WJ:WJ,"1")</f>
        <v>0</v>
      </c>
      <c r="F213" s="24">
        <f>COUNTIF('ZANGBA_Cleaned Data'!WK:WK,"1")</f>
        <v>0</v>
      </c>
      <c r="G213" s="24">
        <f>COUNTIF('ZANGBA_Cleaned Data'!WL:WL,"1")</f>
        <v>0</v>
      </c>
      <c r="H213" s="24">
        <f>COUNTIF('ZANGBA_Cleaned Data'!WM:WM,"1")</f>
        <v>0</v>
      </c>
      <c r="I213" s="24">
        <f>COUNTIF('ZANGBA_Cleaned Data'!WN:WN,"1")</f>
        <v>0</v>
      </c>
      <c r="J213" s="24">
        <f>COUNTIF('ZANGBA_Cleaned Data'!WO:WO,"1")</f>
        <v>0</v>
      </c>
      <c r="K213" s="24">
        <f>COUNTIF('ZANGBA_Cleaned Data'!WP:WP,"1")</f>
        <v>0</v>
      </c>
      <c r="L213" s="24">
        <f>COUNTIF('ZANGBA_Cleaned Data'!WQ:WQ,"1")</f>
        <v>0</v>
      </c>
      <c r="M213" s="24">
        <f>COUNTIF('ZANGBA_Cleaned Data'!WR:WR,"1")</f>
        <v>0</v>
      </c>
      <c r="N213" s="24">
        <f>COUNTIF('ZANGBA_Cleaned Data'!WS:WS,"1")</f>
        <v>0</v>
      </c>
      <c r="O213" s="24">
        <f>COUNTIF('ZANGBA_Cleaned Data'!WT:WT,"1")</f>
        <v>1</v>
      </c>
      <c r="P213" s="10"/>
      <c r="Q213" s="10"/>
      <c r="R213" s="10"/>
      <c r="S213" s="10"/>
      <c r="T213" s="10"/>
      <c r="U213" s="10"/>
      <c r="V213" s="10"/>
      <c r="W213" s="10"/>
      <c r="X213" s="10"/>
      <c r="Y213" s="10"/>
      <c r="Z213" s="10"/>
    </row>
    <row r="214" spans="1:26" s="1" customFormat="1" ht="37.5" x14ac:dyDescent="0.3">
      <c r="A214" s="10"/>
      <c r="B214" s="53" t="s">
        <v>3310</v>
      </c>
      <c r="C214" s="7">
        <f>C213/$B$202</f>
        <v>0</v>
      </c>
      <c r="D214" s="7">
        <f t="shared" ref="D214:O214" si="15">D213/$B$202</f>
        <v>0</v>
      </c>
      <c r="E214" s="7">
        <f t="shared" si="15"/>
        <v>0</v>
      </c>
      <c r="F214" s="7">
        <f t="shared" si="15"/>
        <v>0</v>
      </c>
      <c r="G214" s="7">
        <f t="shared" si="15"/>
        <v>0</v>
      </c>
      <c r="H214" s="7">
        <f t="shared" si="15"/>
        <v>0</v>
      </c>
      <c r="I214" s="7">
        <f t="shared" si="15"/>
        <v>0</v>
      </c>
      <c r="J214" s="7">
        <f t="shared" si="15"/>
        <v>0</v>
      </c>
      <c r="K214" s="7">
        <f t="shared" si="15"/>
        <v>0</v>
      </c>
      <c r="L214" s="7">
        <f t="shared" si="15"/>
        <v>0</v>
      </c>
      <c r="M214" s="7">
        <f t="shared" si="15"/>
        <v>0</v>
      </c>
      <c r="N214" s="7">
        <f t="shared" si="15"/>
        <v>0</v>
      </c>
      <c r="O214" s="7">
        <f t="shared" si="15"/>
        <v>1</v>
      </c>
      <c r="P214" s="10"/>
      <c r="Q214" s="10"/>
      <c r="R214" s="10"/>
      <c r="S214" s="10"/>
      <c r="T214" s="10"/>
      <c r="U214" s="10"/>
      <c r="V214" s="10"/>
      <c r="W214" s="10"/>
      <c r="X214" s="10"/>
      <c r="Y214" s="10"/>
      <c r="Z214" s="10"/>
    </row>
    <row r="215" spans="1:26" x14ac:dyDescent="0.3">
      <c r="B215" s="15"/>
      <c r="C215" s="15"/>
      <c r="D215" s="15"/>
      <c r="E215" s="15"/>
      <c r="F215" s="15"/>
      <c r="G215" s="15"/>
      <c r="H215" s="15"/>
      <c r="O215" s="135" t="s">
        <v>3360</v>
      </c>
    </row>
    <row r="216" spans="1:26" s="1" customFormat="1" x14ac:dyDescent="0.3">
      <c r="A216" s="10"/>
      <c r="B216" s="18" t="s">
        <v>1406</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s="1" customFormat="1" x14ac:dyDescent="0.3">
      <c r="A217" s="10"/>
      <c r="B217" s="3"/>
      <c r="C217" s="11" t="s">
        <v>1210</v>
      </c>
      <c r="D217" s="11" t="s">
        <v>1209</v>
      </c>
      <c r="E217" s="110" t="s">
        <v>1206</v>
      </c>
      <c r="F217" s="10"/>
      <c r="G217" s="10"/>
      <c r="H217" s="10"/>
      <c r="I217" s="10"/>
      <c r="J217" s="10"/>
      <c r="K217" s="10"/>
      <c r="L217" s="10"/>
      <c r="M217" s="10"/>
      <c r="N217" s="10"/>
      <c r="O217" s="10"/>
      <c r="P217" s="10"/>
      <c r="Q217" s="10"/>
      <c r="R217" s="10"/>
      <c r="S217" s="10"/>
      <c r="T217" s="10"/>
      <c r="U217" s="10"/>
      <c r="V217" s="10"/>
      <c r="W217" s="10"/>
      <c r="X217" s="10"/>
      <c r="Y217" s="10"/>
      <c r="Z217" s="10"/>
    </row>
    <row r="218" spans="1:26" s="1" customFormat="1" x14ac:dyDescent="0.3">
      <c r="A218" s="10"/>
      <c r="B218" s="3" t="s">
        <v>1207</v>
      </c>
      <c r="C218" s="24">
        <f>COUNTIF('ZANGBA_Cleaned Data'!WV:WV,"OUI")</f>
        <v>1</v>
      </c>
      <c r="D218" s="24">
        <f>COUNTIF('ZANGBA_Cleaned Data'!WV:WV,"non")</f>
        <v>0</v>
      </c>
      <c r="E218" s="111">
        <f>SUM(C218:D218)</f>
        <v>1</v>
      </c>
      <c r="F218" s="10"/>
      <c r="G218" s="10"/>
      <c r="H218" s="10"/>
      <c r="I218" s="10"/>
      <c r="J218" s="10"/>
      <c r="K218" s="10"/>
      <c r="L218" s="10"/>
      <c r="M218" s="10"/>
      <c r="N218" s="10"/>
      <c r="O218" s="10"/>
      <c r="P218" s="10"/>
      <c r="Q218" s="10"/>
      <c r="R218" s="10"/>
      <c r="S218" s="10"/>
      <c r="T218" s="10"/>
      <c r="U218" s="10"/>
      <c r="V218" s="10"/>
      <c r="W218" s="10"/>
      <c r="X218" s="10"/>
      <c r="Y218" s="10"/>
      <c r="Z218" s="10"/>
    </row>
    <row r="219" spans="1:26" s="1" customFormat="1" ht="37.5" x14ac:dyDescent="0.3">
      <c r="A219" s="10"/>
      <c r="B219" s="53" t="s">
        <v>3310</v>
      </c>
      <c r="C219" s="7">
        <f>(C218/$B$202)</f>
        <v>1</v>
      </c>
      <c r="D219" s="7">
        <f>(D218/$B$202)</f>
        <v>0</v>
      </c>
      <c r="E219" s="100">
        <f>SUM(C219:D219)</f>
        <v>1</v>
      </c>
      <c r="F219" s="10"/>
      <c r="G219" s="10"/>
      <c r="H219" s="10"/>
      <c r="I219" s="10"/>
      <c r="J219" s="10"/>
      <c r="K219" s="10"/>
      <c r="L219" s="10"/>
      <c r="M219" s="10"/>
      <c r="N219" s="10"/>
      <c r="O219" s="10"/>
      <c r="P219" s="10"/>
      <c r="Q219" s="10"/>
      <c r="R219" s="10"/>
      <c r="S219" s="10"/>
      <c r="T219" s="10"/>
      <c r="U219" s="10"/>
      <c r="V219" s="10"/>
      <c r="W219" s="10"/>
      <c r="X219" s="10"/>
      <c r="Y219" s="10"/>
      <c r="Z219" s="10"/>
    </row>
    <row r="220" spans="1:26" s="1" customForma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s="1" customFormat="1" x14ac:dyDescent="0.3">
      <c r="A221" s="10"/>
      <c r="B221" s="10"/>
      <c r="C221" s="18" t="s">
        <v>1270</v>
      </c>
      <c r="D221" s="10"/>
      <c r="E221" s="103" t="s">
        <v>3245</v>
      </c>
      <c r="F221" s="10"/>
      <c r="G221" s="10"/>
      <c r="H221" s="10"/>
      <c r="I221" s="10"/>
      <c r="J221" s="10"/>
      <c r="K221" s="10"/>
      <c r="L221" s="10"/>
      <c r="M221" s="10"/>
      <c r="N221" s="10"/>
      <c r="O221" s="10"/>
      <c r="P221" s="10"/>
      <c r="Q221" s="10"/>
      <c r="R221" s="10"/>
      <c r="S221" s="10"/>
      <c r="T221" s="10"/>
      <c r="U221" s="10"/>
      <c r="V221" s="10"/>
      <c r="W221" s="10"/>
      <c r="X221" s="10"/>
      <c r="Y221" s="10"/>
      <c r="Z221" s="10"/>
    </row>
    <row r="222" spans="1:26" s="1" customFormat="1" x14ac:dyDescent="0.3">
      <c r="A222" s="10"/>
      <c r="B222" s="10"/>
      <c r="C222" s="3"/>
      <c r="D222" s="11" t="s">
        <v>1271</v>
      </c>
      <c r="E222" s="11" t="s">
        <v>1272</v>
      </c>
      <c r="F222" s="11" t="s">
        <v>1273</v>
      </c>
      <c r="G222" s="11" t="s">
        <v>1274</v>
      </c>
      <c r="H222" s="11" t="s">
        <v>1205</v>
      </c>
      <c r="I222" s="10"/>
      <c r="J222" s="10"/>
      <c r="K222" s="10"/>
      <c r="L222" s="10"/>
      <c r="M222" s="10"/>
      <c r="N222" s="10"/>
      <c r="O222" s="10"/>
      <c r="P222" s="10"/>
      <c r="Q222" s="10"/>
      <c r="R222" s="10"/>
      <c r="S222" s="10"/>
      <c r="T222" s="10"/>
      <c r="U222" s="10"/>
      <c r="V222" s="10"/>
      <c r="W222" s="10"/>
      <c r="X222" s="10"/>
      <c r="Y222" s="10"/>
      <c r="Z222" s="10"/>
    </row>
    <row r="223" spans="1:26" s="1" customFormat="1" x14ac:dyDescent="0.3">
      <c r="A223" s="10"/>
      <c r="B223" s="10"/>
      <c r="C223" s="3" t="s">
        <v>1207</v>
      </c>
      <c r="D223" s="4">
        <f>COUNTIF('ZANGBA_Cleaned Data'!WX:WX,"1")</f>
        <v>0</v>
      </c>
      <c r="E223" s="4">
        <f>COUNTIF('ZANGBA_Cleaned Data'!WY:WY,"1")</f>
        <v>0</v>
      </c>
      <c r="F223" s="4">
        <f>COUNTIF('ZANGBA_Cleaned Data'!WZ:WZ,"1")</f>
        <v>0</v>
      </c>
      <c r="G223" s="4">
        <f>COUNTIF('ZANGBA_Cleaned Data'!XA:XA,"1")</f>
        <v>0</v>
      </c>
      <c r="H223" s="4">
        <f>COUNTIF('ZANGBA_Cleaned Data'!XB:XB,"1")</f>
        <v>0</v>
      </c>
      <c r="I223" s="10"/>
      <c r="J223" s="10"/>
      <c r="K223" s="10"/>
      <c r="L223" s="10"/>
      <c r="M223" s="10"/>
      <c r="N223" s="10"/>
      <c r="O223" s="10"/>
      <c r="P223" s="10"/>
      <c r="Q223" s="10"/>
      <c r="R223" s="10"/>
      <c r="S223" s="10"/>
      <c r="T223" s="10"/>
      <c r="U223" s="10"/>
      <c r="V223" s="10"/>
      <c r="W223" s="10"/>
      <c r="X223" s="10"/>
      <c r="Y223" s="10"/>
      <c r="Z223" s="10"/>
    </row>
    <row r="224" spans="1:26" s="1" customFormat="1" ht="49" x14ac:dyDescent="0.3">
      <c r="A224" s="10"/>
      <c r="B224" s="10"/>
      <c r="C224" s="53" t="s">
        <v>3311</v>
      </c>
      <c r="D224" s="7" t="e">
        <f>D223/$D$218</f>
        <v>#DIV/0!</v>
      </c>
      <c r="E224" s="7" t="e">
        <f t="shared" ref="E224:H224" si="16">E223/$D$218</f>
        <v>#DIV/0!</v>
      </c>
      <c r="F224" s="7" t="e">
        <f t="shared" si="16"/>
        <v>#DIV/0!</v>
      </c>
      <c r="G224" s="7" t="e">
        <f t="shared" si="16"/>
        <v>#DIV/0!</v>
      </c>
      <c r="H224" s="7" t="e">
        <f t="shared" si="16"/>
        <v>#DIV/0!</v>
      </c>
      <c r="I224" s="10"/>
      <c r="J224" s="10"/>
      <c r="K224" s="10"/>
      <c r="L224" s="10"/>
      <c r="M224" s="10"/>
      <c r="N224" s="10"/>
      <c r="O224" s="10"/>
      <c r="P224" s="10"/>
      <c r="Q224" s="10"/>
      <c r="R224" s="10"/>
      <c r="S224" s="10"/>
      <c r="T224" s="10"/>
      <c r="U224" s="10"/>
      <c r="V224" s="10"/>
      <c r="W224" s="10"/>
      <c r="X224" s="10"/>
      <c r="Y224" s="10"/>
      <c r="Z224" s="10"/>
    </row>
    <row r="226" spans="1:13" ht="15.5" x14ac:dyDescent="0.35">
      <c r="A226" s="9" t="s">
        <v>1301</v>
      </c>
      <c r="C226" s="103" t="s">
        <v>3245</v>
      </c>
    </row>
    <row r="227" spans="1:13" s="36" customFormat="1" ht="84" x14ac:dyDescent="0.35">
      <c r="A227" s="8" t="s">
        <v>2081</v>
      </c>
      <c r="B227" s="8" t="s">
        <v>1483</v>
      </c>
      <c r="C227" s="8" t="s">
        <v>2082</v>
      </c>
      <c r="D227" s="8" t="s">
        <v>2083</v>
      </c>
      <c r="E227" s="8" t="s">
        <v>2084</v>
      </c>
      <c r="F227" s="8" t="s">
        <v>1484</v>
      </c>
      <c r="G227" s="8" t="s">
        <v>1268</v>
      </c>
      <c r="H227" s="8" t="s">
        <v>2085</v>
      </c>
      <c r="I227" s="8" t="s">
        <v>2086</v>
      </c>
      <c r="J227" s="8" t="s">
        <v>2087</v>
      </c>
      <c r="K227" s="8" t="s">
        <v>2088</v>
      </c>
      <c r="L227" s="8" t="s">
        <v>1905</v>
      </c>
      <c r="M227" s="8" t="s">
        <v>1220</v>
      </c>
    </row>
    <row r="228" spans="1:13" x14ac:dyDescent="0.3">
      <c r="A228" s="24">
        <f>COUNTIF('ZANGBA_Cleaned Data'!XE:XE,"1")</f>
        <v>0</v>
      </c>
      <c r="B228" s="24">
        <f>COUNTIF('ZANGBA_Cleaned Data'!XF:XF,"1")</f>
        <v>1</v>
      </c>
      <c r="C228" s="24">
        <f>COUNTIF('ZANGBA_Cleaned Data'!XG:XG,"1")</f>
        <v>0</v>
      </c>
      <c r="D228" s="24">
        <f>COUNTIF('ZANGBA_Cleaned Data'!XH:XH,"1")</f>
        <v>2</v>
      </c>
      <c r="E228" s="24">
        <f>COUNTIF('ZANGBA_Cleaned Data'!XI:XI,"1")</f>
        <v>0</v>
      </c>
      <c r="F228" s="24">
        <f>COUNTIF('ZANGBA_Cleaned Data'!XJ:XJ,"1")</f>
        <v>0</v>
      </c>
      <c r="G228" s="24">
        <f>COUNTIF('ZANGBA_Cleaned Data'!XK:XK,"1")</f>
        <v>0</v>
      </c>
      <c r="H228" s="24">
        <f>COUNTIF('ZANGBA_Cleaned Data'!XL:XL,"1")</f>
        <v>0</v>
      </c>
      <c r="I228" s="24">
        <f>COUNTIF('ZANGBA_Cleaned Data'!XM:XM,"1")</f>
        <v>1</v>
      </c>
      <c r="J228" s="24">
        <f>COUNTIF('ZANGBA_Cleaned Data'!XN:XN,"1")</f>
        <v>0</v>
      </c>
      <c r="K228" s="24">
        <f>COUNTIF('ZANGBA_Cleaned Data'!XO:XO,"1")</f>
        <v>0</v>
      </c>
      <c r="L228" s="24">
        <f>COUNTIF('ZANGBA_Cleaned Data'!XP:XP,"1")</f>
        <v>0</v>
      </c>
      <c r="M228" s="24">
        <f>COUNTIF('ZANGBA_Cleaned Data'!XQ:XQ,"1")</f>
        <v>1</v>
      </c>
    </row>
    <row r="229" spans="1:13" x14ac:dyDescent="0.3">
      <c r="M229" s="74" t="s">
        <v>3361</v>
      </c>
    </row>
    <row r="230" spans="1:13" ht="15.5" x14ac:dyDescent="0.35">
      <c r="A230" s="9" t="s">
        <v>1485</v>
      </c>
    </row>
    <row r="231" spans="1:13" ht="15.5" x14ac:dyDescent="0.35">
      <c r="A231" s="29" t="s">
        <v>1486</v>
      </c>
    </row>
    <row r="232" spans="1:13" x14ac:dyDescent="0.3">
      <c r="A232" s="3"/>
      <c r="B232" s="8" t="s">
        <v>1210</v>
      </c>
      <c r="C232" s="8" t="s">
        <v>1209</v>
      </c>
      <c r="D232" s="110" t="s">
        <v>1206</v>
      </c>
    </row>
    <row r="233" spans="1:13" x14ac:dyDescent="0.3">
      <c r="A233" s="3" t="s">
        <v>1207</v>
      </c>
      <c r="B233" s="4">
        <f>COUNTIF('ZANGBA_Cleaned Data'!XT:XT,"OUI")</f>
        <v>2</v>
      </c>
      <c r="C233" s="4">
        <f>COUNTIF('ZANGBA_Cleaned Data'!XT:XT,"non")</f>
        <v>0</v>
      </c>
      <c r="D233" s="111">
        <f>SUM(B233:C233)</f>
        <v>2</v>
      </c>
    </row>
    <row r="234" spans="1:13" s="36" customFormat="1" ht="37" x14ac:dyDescent="0.3">
      <c r="A234" s="54" t="s">
        <v>3301</v>
      </c>
      <c r="B234" s="120">
        <f>(B233/$E$9)</f>
        <v>1</v>
      </c>
      <c r="C234" s="120">
        <f>(C233/$E$9)</f>
        <v>0</v>
      </c>
      <c r="D234" s="100">
        <f>SUM(B234:C234)</f>
        <v>1</v>
      </c>
    </row>
    <row r="236" spans="1:13" x14ac:dyDescent="0.3">
      <c r="B236" s="18" t="s">
        <v>1487</v>
      </c>
      <c r="D236" s="103" t="s">
        <v>3245</v>
      </c>
    </row>
    <row r="237" spans="1:13" s="36" customFormat="1" ht="56" x14ac:dyDescent="0.3">
      <c r="B237" s="3"/>
      <c r="C237" s="11" t="s">
        <v>1488</v>
      </c>
      <c r="D237" s="11" t="s">
        <v>1489</v>
      </c>
      <c r="E237" s="11" t="s">
        <v>1490</v>
      </c>
      <c r="F237" s="11" t="s">
        <v>1491</v>
      </c>
      <c r="G237" s="11" t="s">
        <v>1492</v>
      </c>
      <c r="H237" s="11" t="s">
        <v>1493</v>
      </c>
      <c r="I237" s="11" t="s">
        <v>3259</v>
      </c>
      <c r="J237" s="11" t="s">
        <v>1205</v>
      </c>
    </row>
    <row r="238" spans="1:13" x14ac:dyDescent="0.3">
      <c r="B238" s="3" t="s">
        <v>1207</v>
      </c>
      <c r="C238" s="24">
        <f>COUNTIF('ZANGBA_Cleaned Data'!XV:XV,"1")</f>
        <v>0</v>
      </c>
      <c r="D238" s="24">
        <f>COUNTIF('ZANGBA_Cleaned Data'!XW:XW,"1")</f>
        <v>1</v>
      </c>
      <c r="E238" s="24">
        <f>COUNTIF('ZANGBA_Cleaned Data'!XX:XX,"1")</f>
        <v>0</v>
      </c>
      <c r="F238" s="24">
        <f>COUNTIF('ZANGBA_Cleaned Data'!XY:XY,"1")</f>
        <v>1</v>
      </c>
      <c r="G238" s="24">
        <f>COUNTIF('ZANGBA_Cleaned Data'!XZ:XZ,"1")</f>
        <v>0</v>
      </c>
      <c r="H238" s="24">
        <f>COUNTIF('ZANGBA_Cleaned Data'!YA:YA,"1")</f>
        <v>0</v>
      </c>
      <c r="I238" s="24">
        <f>COUNTIF('ZANGBA_Cleaned Data'!YB:YB,"1")</f>
        <v>0</v>
      </c>
      <c r="J238" s="24">
        <f>COUNTIF('ZANGBA_Cleaned Data'!YC:YC,"1")</f>
        <v>0</v>
      </c>
    </row>
    <row r="239" spans="1:13" ht="37" x14ac:dyDescent="0.3">
      <c r="B239" s="54" t="s">
        <v>3313</v>
      </c>
      <c r="C239" s="120">
        <f>(C238/$B$233)</f>
        <v>0</v>
      </c>
      <c r="D239" s="120">
        <f t="shared" ref="D239:J239" si="17">(D238/$B$233)</f>
        <v>0.5</v>
      </c>
      <c r="E239" s="120">
        <f t="shared" si="17"/>
        <v>0</v>
      </c>
      <c r="F239" s="120">
        <f t="shared" si="17"/>
        <v>0.5</v>
      </c>
      <c r="G239" s="120">
        <f t="shared" si="17"/>
        <v>0</v>
      </c>
      <c r="H239" s="120">
        <f t="shared" si="17"/>
        <v>0</v>
      </c>
      <c r="I239" s="120">
        <f t="shared" si="17"/>
        <v>0</v>
      </c>
      <c r="J239" s="120">
        <f t="shared" si="17"/>
        <v>0</v>
      </c>
    </row>
    <row r="241" spans="1:4" ht="15.5" x14ac:dyDescent="0.35">
      <c r="A241" s="29" t="s">
        <v>1494</v>
      </c>
    </row>
    <row r="242" spans="1:4" x14ac:dyDescent="0.3">
      <c r="A242" s="3"/>
      <c r="B242" s="8" t="s">
        <v>1210</v>
      </c>
      <c r="C242" s="8" t="s">
        <v>1209</v>
      </c>
      <c r="D242" s="110" t="s">
        <v>1206</v>
      </c>
    </row>
    <row r="243" spans="1:4" x14ac:dyDescent="0.3">
      <c r="A243" s="3" t="s">
        <v>1207</v>
      </c>
      <c r="B243" s="4">
        <f>COUNTIF('ZANGBA_Cleaned Data'!YE:YE,"OUI")</f>
        <v>0</v>
      </c>
      <c r="C243" s="4">
        <f>COUNTIF('ZANGBA_Cleaned Data'!YE:YE,"non")</f>
        <v>2</v>
      </c>
      <c r="D243" s="111">
        <f>SUM(B243:C243)</f>
        <v>2</v>
      </c>
    </row>
    <row r="244" spans="1:4" ht="37" x14ac:dyDescent="0.3">
      <c r="A244" s="54" t="s">
        <v>3301</v>
      </c>
      <c r="B244" s="120">
        <f>(B243/$E$9)</f>
        <v>0</v>
      </c>
      <c r="C244" s="120">
        <f>(C243/$E$9)</f>
        <v>1</v>
      </c>
      <c r="D244" s="100">
        <f>SUM(B244:C244)</f>
        <v>1</v>
      </c>
    </row>
    <row r="246" spans="1:4" ht="15.5" x14ac:dyDescent="0.35">
      <c r="A246" s="29" t="s">
        <v>1495</v>
      </c>
    </row>
    <row r="247" spans="1:4" x14ac:dyDescent="0.3">
      <c r="A247" s="3"/>
      <c r="B247" s="8" t="s">
        <v>1210</v>
      </c>
      <c r="C247" s="8" t="s">
        <v>1209</v>
      </c>
      <c r="D247" s="110" t="s">
        <v>1206</v>
      </c>
    </row>
    <row r="248" spans="1:4" x14ac:dyDescent="0.3">
      <c r="A248" s="3" t="s">
        <v>1207</v>
      </c>
      <c r="B248" s="4">
        <f>COUNTIF('ZANGBA_Cleaned Data'!YF:YF,"OUI")</f>
        <v>0</v>
      </c>
      <c r="C248" s="4">
        <f>COUNTIF('ZANGBA_Cleaned Data'!YF:YF,"non")</f>
        <v>2</v>
      </c>
      <c r="D248" s="111">
        <f>SUM(B248:C248)</f>
        <v>2</v>
      </c>
    </row>
    <row r="249" spans="1:4" ht="37" x14ac:dyDescent="0.3">
      <c r="A249" s="54" t="s">
        <v>3301</v>
      </c>
      <c r="B249" s="120">
        <f>(B248/$E$9)</f>
        <v>0</v>
      </c>
      <c r="C249" s="120">
        <f>(C248/$E$9)</f>
        <v>1</v>
      </c>
      <c r="D249" s="100">
        <f>SUM(B249:C249)</f>
        <v>1</v>
      </c>
    </row>
    <row r="251" spans="1:4" ht="15.5" x14ac:dyDescent="0.35">
      <c r="A251" s="29" t="s">
        <v>1496</v>
      </c>
    </row>
    <row r="252" spans="1:4" x14ac:dyDescent="0.3">
      <c r="A252" s="3"/>
      <c r="B252" s="8" t="s">
        <v>1210</v>
      </c>
      <c r="C252" s="8" t="s">
        <v>1209</v>
      </c>
      <c r="D252" s="110" t="s">
        <v>1206</v>
      </c>
    </row>
    <row r="253" spans="1:4" x14ac:dyDescent="0.3">
      <c r="A253" s="3" t="s">
        <v>1207</v>
      </c>
      <c r="B253" s="4">
        <f>COUNTIF('ZANGBA_Cleaned Data'!YH:YH,"OUI")</f>
        <v>2</v>
      </c>
      <c r="C253" s="4">
        <f>COUNTIF('ZANGBA_Cleaned Data'!YH:YH,"non")</f>
        <v>0</v>
      </c>
      <c r="D253" s="111">
        <f>SUM(B253:C253)</f>
        <v>2</v>
      </c>
    </row>
    <row r="254" spans="1:4" ht="37" x14ac:dyDescent="0.3">
      <c r="A254" s="54" t="s">
        <v>3301</v>
      </c>
      <c r="B254" s="120">
        <f>(B253/$E$9)</f>
        <v>1</v>
      </c>
      <c r="C254" s="120">
        <f>(C253/$E$9)</f>
        <v>0</v>
      </c>
      <c r="D254" s="100">
        <f>SUM(B254:C254)</f>
        <v>1</v>
      </c>
    </row>
    <row r="256" spans="1:4" x14ac:dyDescent="0.3">
      <c r="B256" s="18" t="s">
        <v>1497</v>
      </c>
      <c r="D256" s="103" t="s">
        <v>3245</v>
      </c>
    </row>
    <row r="257" spans="1:10" s="36" customFormat="1" ht="42" x14ac:dyDescent="0.3">
      <c r="B257" s="3"/>
      <c r="C257" s="11" t="s">
        <v>1488</v>
      </c>
      <c r="D257" s="11" t="s">
        <v>1498</v>
      </c>
      <c r="E257" s="11" t="s">
        <v>1503</v>
      </c>
      <c r="F257" s="11" t="s">
        <v>1499</v>
      </c>
      <c r="G257" s="11" t="s">
        <v>1500</v>
      </c>
      <c r="H257" s="11" t="s">
        <v>1501</v>
      </c>
      <c r="I257" s="11" t="s">
        <v>1502</v>
      </c>
      <c r="J257" s="11" t="s">
        <v>1220</v>
      </c>
    </row>
    <row r="258" spans="1:10" x14ac:dyDescent="0.3">
      <c r="B258" s="3" t="s">
        <v>1207</v>
      </c>
      <c r="C258" s="24">
        <f>COUNTIF('ZANGBA_Cleaned Data'!YJ:YJ,"1")</f>
        <v>0</v>
      </c>
      <c r="D258" s="24">
        <f>COUNTIF('ZANGBA_Cleaned Data'!YK:YK,"1")</f>
        <v>0</v>
      </c>
      <c r="E258" s="24">
        <f>COUNTIF('ZANGBA_Cleaned Data'!YL:YL,"1")</f>
        <v>2</v>
      </c>
      <c r="F258" s="24">
        <f>COUNTIF('ZANGBA_Cleaned Data'!YM:YM,"1")</f>
        <v>1</v>
      </c>
      <c r="G258" s="24">
        <f>COUNTIF('ZANGBA_Cleaned Data'!YN:YN,"1")</f>
        <v>1</v>
      </c>
      <c r="H258" s="24">
        <f>COUNTIF('ZANGBA_Cleaned Data'!YO:YO,"1")</f>
        <v>0</v>
      </c>
      <c r="I258" s="24">
        <f>COUNTIF('ZANGBA_Cleaned Data'!YP:YP,"1")</f>
        <v>0</v>
      </c>
      <c r="J258" s="24">
        <f>COUNTIF('ZANGBA_Cleaned Data'!YQ:YQ,"1")</f>
        <v>0</v>
      </c>
    </row>
    <row r="259" spans="1:10" ht="49" x14ac:dyDescent="0.3">
      <c r="B259" s="53" t="s">
        <v>3314</v>
      </c>
      <c r="C259" s="120">
        <f>C258/$B$253</f>
        <v>0</v>
      </c>
      <c r="D259" s="120">
        <f t="shared" ref="D259:J259" si="18">D258/$B$253</f>
        <v>0</v>
      </c>
      <c r="E259" s="120">
        <f t="shared" si="18"/>
        <v>1</v>
      </c>
      <c r="F259" s="120">
        <f t="shared" si="18"/>
        <v>0.5</v>
      </c>
      <c r="G259" s="120">
        <f t="shared" si="18"/>
        <v>0.5</v>
      </c>
      <c r="H259" s="120">
        <f t="shared" si="18"/>
        <v>0</v>
      </c>
      <c r="I259" s="120">
        <f t="shared" si="18"/>
        <v>0</v>
      </c>
      <c r="J259" s="120">
        <f t="shared" si="18"/>
        <v>0</v>
      </c>
    </row>
    <row r="261" spans="1:10" x14ac:dyDescent="0.3">
      <c r="B261" s="18" t="s">
        <v>1504</v>
      </c>
    </row>
    <row r="262" spans="1:10" x14ac:dyDescent="0.3">
      <c r="B262" s="3"/>
      <c r="C262" s="6" t="s">
        <v>1210</v>
      </c>
      <c r="D262" s="6" t="s">
        <v>1209</v>
      </c>
      <c r="E262" s="110" t="s">
        <v>1206</v>
      </c>
    </row>
    <row r="263" spans="1:10" x14ac:dyDescent="0.3">
      <c r="B263" s="3" t="s">
        <v>1207</v>
      </c>
      <c r="C263" s="4">
        <f>COUNTIF('ZANGBA_Cleaned Data'!YS:YS,"oui")</f>
        <v>0</v>
      </c>
      <c r="D263" s="4">
        <f>COUNTIF('ZANGBA_Cleaned Data'!YS:YS,"non")</f>
        <v>2</v>
      </c>
      <c r="E263" s="111">
        <f>SUM(C263:D263)</f>
        <v>2</v>
      </c>
    </row>
    <row r="264" spans="1:10" ht="49" x14ac:dyDescent="0.3">
      <c r="B264" s="53" t="s">
        <v>3314</v>
      </c>
      <c r="C264" s="7">
        <f>(C263/$B$253)</f>
        <v>0</v>
      </c>
      <c r="D264" s="7">
        <f>(D263/$B$253)</f>
        <v>1</v>
      </c>
      <c r="E264" s="100">
        <f>SUM(C264:D264)</f>
        <v>1</v>
      </c>
    </row>
    <row r="266" spans="1:10" x14ac:dyDescent="0.3">
      <c r="C266" s="18" t="s">
        <v>1262</v>
      </c>
      <c r="E266" s="103" t="s">
        <v>3245</v>
      </c>
    </row>
    <row r="267" spans="1:10" ht="28" x14ac:dyDescent="0.3">
      <c r="C267" s="3"/>
      <c r="D267" s="11" t="s">
        <v>1505</v>
      </c>
      <c r="E267" s="11" t="s">
        <v>1506</v>
      </c>
      <c r="F267" s="11" t="s">
        <v>1507</v>
      </c>
      <c r="G267" s="11" t="s">
        <v>1508</v>
      </c>
      <c r="H267" s="11" t="s">
        <v>1220</v>
      </c>
    </row>
    <row r="268" spans="1:10" x14ac:dyDescent="0.3">
      <c r="C268" s="3" t="s">
        <v>1207</v>
      </c>
      <c r="D268" s="24">
        <f>COUNTIF('ZANGBA_Cleaned Data'!YU:YU,"1")</f>
        <v>0</v>
      </c>
      <c r="E268" s="24">
        <f>COUNTIF('ZANGBA_Cleaned Data'!YV:YV,"1")</f>
        <v>0</v>
      </c>
      <c r="F268" s="24">
        <f>COUNTIF('ZANGBA_Cleaned Data'!YW:YW,"1")</f>
        <v>0</v>
      </c>
      <c r="G268" s="24">
        <f>COUNTIF('ZANGBA_Cleaned Data'!YX:YX,"1")</f>
        <v>0</v>
      </c>
      <c r="H268" s="24">
        <f>COUNTIF('ZANGBA_Cleaned Data'!YY:YY,"1")</f>
        <v>0</v>
      </c>
    </row>
    <row r="269" spans="1:10" ht="60.5" x14ac:dyDescent="0.3">
      <c r="C269" s="53" t="s">
        <v>3314</v>
      </c>
      <c r="D269" s="7">
        <f>(D268/$B$253)</f>
        <v>0</v>
      </c>
      <c r="E269" s="7">
        <f t="shared" ref="E269:H269" si="19">(E268/$B$253)</f>
        <v>0</v>
      </c>
      <c r="F269" s="7">
        <f t="shared" si="19"/>
        <v>0</v>
      </c>
      <c r="G269" s="7">
        <f t="shared" si="19"/>
        <v>0</v>
      </c>
      <c r="H269" s="7">
        <f t="shared" si="19"/>
        <v>0</v>
      </c>
    </row>
    <row r="271" spans="1:10" ht="15.5" x14ac:dyDescent="0.35">
      <c r="A271" s="29" t="s">
        <v>1509</v>
      </c>
    </row>
    <row r="272" spans="1:10" x14ac:dyDescent="0.3">
      <c r="A272" s="3"/>
      <c r="B272" s="8" t="s">
        <v>1210</v>
      </c>
      <c r="C272" s="8" t="s">
        <v>1209</v>
      </c>
      <c r="D272" s="110" t="s">
        <v>1206</v>
      </c>
    </row>
    <row r="273" spans="1:4" x14ac:dyDescent="0.3">
      <c r="A273" s="3" t="s">
        <v>1207</v>
      </c>
      <c r="B273" s="4">
        <f>COUNTIF('ZANGBA_Cleaned Data'!ZA:ZA,"OUI")</f>
        <v>2</v>
      </c>
      <c r="C273" s="4">
        <f>COUNTIF('ZANGBA_Cleaned Data'!ZA:ZA,"non")</f>
        <v>0</v>
      </c>
      <c r="D273" s="111">
        <f>SUM(B273:C273)</f>
        <v>2</v>
      </c>
    </row>
    <row r="274" spans="1:4" ht="37.5" x14ac:dyDescent="0.3">
      <c r="A274" s="53" t="s">
        <v>3290</v>
      </c>
      <c r="B274" s="39">
        <f>(B273/$E$9)</f>
        <v>1</v>
      </c>
      <c r="C274" s="39">
        <f>(C273/$E$9)</f>
        <v>0</v>
      </c>
      <c r="D274" s="100">
        <f>SUM(B274:C274)</f>
        <v>1</v>
      </c>
    </row>
    <row r="275" spans="1:4" x14ac:dyDescent="0.3">
      <c r="D275" s="124"/>
    </row>
    <row r="276" spans="1:4" ht="15.5" x14ac:dyDescent="0.35">
      <c r="A276" s="29" t="s">
        <v>1511</v>
      </c>
    </row>
    <row r="277" spans="1:4" x14ac:dyDescent="0.3">
      <c r="A277" s="3"/>
      <c r="B277" s="8" t="s">
        <v>1210</v>
      </c>
      <c r="C277" s="8" t="s">
        <v>1209</v>
      </c>
      <c r="D277" s="110" t="s">
        <v>1206</v>
      </c>
    </row>
    <row r="278" spans="1:4" x14ac:dyDescent="0.3">
      <c r="A278" s="3" t="s">
        <v>1207</v>
      </c>
      <c r="B278" s="4">
        <f>COUNTIF('ZANGBA_Cleaned Data'!ZF:ZF,"OUI")</f>
        <v>0</v>
      </c>
      <c r="C278" s="4">
        <f>COUNTIF('ZANGBA_Cleaned Data'!ZF:ZF,"non")</f>
        <v>2</v>
      </c>
      <c r="D278" s="111">
        <f>SUM(B278:C278)</f>
        <v>2</v>
      </c>
    </row>
    <row r="279" spans="1:4" ht="37.5" x14ac:dyDescent="0.3">
      <c r="A279" s="53" t="s">
        <v>3290</v>
      </c>
      <c r="B279" s="39">
        <f>(B278/$E$9)</f>
        <v>0</v>
      </c>
      <c r="C279" s="39">
        <f>(C278/$E$9)</f>
        <v>1</v>
      </c>
      <c r="D279" s="100">
        <f>SUM(B279:C279)</f>
        <v>1</v>
      </c>
    </row>
    <row r="280" spans="1:4" x14ac:dyDescent="0.3">
      <c r="D280" s="124"/>
    </row>
    <row r="281" spans="1:4" ht="15.5" x14ac:dyDescent="0.35">
      <c r="A281" s="29" t="s">
        <v>1510</v>
      </c>
    </row>
    <row r="282" spans="1:4" x14ac:dyDescent="0.3">
      <c r="A282" s="3"/>
      <c r="B282" s="8" t="s">
        <v>1210</v>
      </c>
      <c r="C282" s="8" t="s">
        <v>1209</v>
      </c>
      <c r="D282" s="110" t="s">
        <v>1206</v>
      </c>
    </row>
    <row r="283" spans="1:4" x14ac:dyDescent="0.3">
      <c r="A283" s="3" t="s">
        <v>1207</v>
      </c>
      <c r="B283" s="4">
        <f>COUNTIF('ZANGBA_Cleaned Data'!ZK:ZK,"OUI")</f>
        <v>0</v>
      </c>
      <c r="C283" s="4">
        <f>COUNTIF('ZANGBA_Cleaned Data'!ZK:ZK,"non")</f>
        <v>2</v>
      </c>
      <c r="D283" s="111">
        <f>SUM(B283:C283)</f>
        <v>2</v>
      </c>
    </row>
    <row r="284" spans="1:4" ht="37.5" x14ac:dyDescent="0.3">
      <c r="A284" s="53" t="s">
        <v>3290</v>
      </c>
      <c r="B284" s="39">
        <f>(B283/$E$9)</f>
        <v>0</v>
      </c>
      <c r="C284" s="39">
        <f>(C283/$E$9)</f>
        <v>1</v>
      </c>
      <c r="D284" s="100">
        <f>SUM(B284:C284)</f>
        <v>1</v>
      </c>
    </row>
    <row r="285" spans="1:4" x14ac:dyDescent="0.3">
      <c r="D285" s="124"/>
    </row>
    <row r="286" spans="1:4" ht="15.5" x14ac:dyDescent="0.35">
      <c r="A286" s="29" t="s">
        <v>1512</v>
      </c>
    </row>
    <row r="287" spans="1:4" x14ac:dyDescent="0.3">
      <c r="A287" s="3"/>
      <c r="B287" s="8" t="s">
        <v>1210</v>
      </c>
      <c r="C287" s="8" t="s">
        <v>1209</v>
      </c>
      <c r="D287" s="110" t="s">
        <v>1206</v>
      </c>
    </row>
    <row r="288" spans="1:4" x14ac:dyDescent="0.3">
      <c r="A288" s="3" t="s">
        <v>1207</v>
      </c>
      <c r="B288" s="4">
        <f>COUNTIF('ZANGBA_Cleaned Data'!ZL:ZL,"OUI")</f>
        <v>1</v>
      </c>
      <c r="C288" s="4">
        <f>COUNTIF('ZANGBA_Cleaned Data'!ZL:ZL,"non")</f>
        <v>1</v>
      </c>
      <c r="D288" s="111">
        <f>SUM(B288:C288)</f>
        <v>2</v>
      </c>
    </row>
    <row r="289" spans="1:4" ht="37.5" x14ac:dyDescent="0.3">
      <c r="A289" s="53" t="s">
        <v>3290</v>
      </c>
      <c r="B289" s="39">
        <f>(B288/$E$9)</f>
        <v>0.5</v>
      </c>
      <c r="C289" s="39">
        <f>(C288/$E$9)</f>
        <v>0.5</v>
      </c>
      <c r="D289" s="100">
        <f>SUM(B289:C289)</f>
        <v>1</v>
      </c>
    </row>
    <row r="290" spans="1:4" x14ac:dyDescent="0.3">
      <c r="D290" s="124"/>
    </row>
    <row r="291" spans="1:4" ht="15.5" x14ac:dyDescent="0.35">
      <c r="A291" s="29" t="s">
        <v>1513</v>
      </c>
    </row>
    <row r="292" spans="1:4" x14ac:dyDescent="0.3">
      <c r="A292" s="3"/>
      <c r="B292" s="8" t="s">
        <v>1210</v>
      </c>
      <c r="C292" s="8" t="s">
        <v>1209</v>
      </c>
      <c r="D292" s="110" t="s">
        <v>1206</v>
      </c>
    </row>
    <row r="293" spans="1:4" x14ac:dyDescent="0.3">
      <c r="A293" s="3" t="s">
        <v>1207</v>
      </c>
      <c r="B293" s="4">
        <f>COUNTIF('ZANGBA_Cleaned Data'!ZN:ZN,"OUI")</f>
        <v>0</v>
      </c>
      <c r="C293" s="4">
        <f>COUNTIF('ZANGBA_Cleaned Data'!ZN:ZN,"non")</f>
        <v>2</v>
      </c>
      <c r="D293" s="111">
        <f>SUM(B293:C293)</f>
        <v>2</v>
      </c>
    </row>
    <row r="294" spans="1:4" ht="37.5" x14ac:dyDescent="0.3">
      <c r="A294" s="53" t="s">
        <v>3290</v>
      </c>
      <c r="B294" s="39">
        <f>(B293/$E$9)</f>
        <v>0</v>
      </c>
      <c r="C294" s="39">
        <f>(C293/$E$9)</f>
        <v>1</v>
      </c>
      <c r="D294" s="100">
        <f>SUM(B294:C294)</f>
        <v>1</v>
      </c>
    </row>
    <row r="295" spans="1:4" x14ac:dyDescent="0.3">
      <c r="D295" s="124"/>
    </row>
    <row r="296" spans="1:4" ht="15.5" x14ac:dyDescent="0.35">
      <c r="A296" s="29" t="s">
        <v>1514</v>
      </c>
    </row>
    <row r="297" spans="1:4" x14ac:dyDescent="0.3">
      <c r="A297" s="3"/>
      <c r="B297" s="8" t="s">
        <v>1210</v>
      </c>
      <c r="C297" s="8" t="s">
        <v>1209</v>
      </c>
      <c r="D297" s="110" t="s">
        <v>1206</v>
      </c>
    </row>
    <row r="298" spans="1:4" x14ac:dyDescent="0.3">
      <c r="A298" s="3" t="s">
        <v>1207</v>
      </c>
      <c r="B298" s="4">
        <f>COUNTIF('ZANGBA_Cleaned Data'!ZO:ZO,"OUI")</f>
        <v>2</v>
      </c>
      <c r="C298" s="4">
        <f>COUNTIF('ZANGBA_Cleaned Data'!ZO:ZO,"non")</f>
        <v>0</v>
      </c>
      <c r="D298" s="111">
        <f>SUM(B298:C298)</f>
        <v>2</v>
      </c>
    </row>
    <row r="299" spans="1:4" ht="37.5" x14ac:dyDescent="0.3">
      <c r="A299" s="53" t="s">
        <v>3290</v>
      </c>
      <c r="B299" s="39">
        <f>(B298/$E$9)</f>
        <v>1</v>
      </c>
      <c r="C299" s="39">
        <f>(C298/$E$9)</f>
        <v>0</v>
      </c>
      <c r="D299" s="100">
        <f>SUM(B299:C299)</f>
        <v>1</v>
      </c>
    </row>
    <row r="300" spans="1:4" x14ac:dyDescent="0.3">
      <c r="A300" s="97"/>
      <c r="B300" s="15"/>
      <c r="C300" s="15"/>
      <c r="D300" s="124"/>
    </row>
    <row r="301" spans="1:4" ht="15.5" x14ac:dyDescent="0.35">
      <c r="A301" s="29" t="s">
        <v>1515</v>
      </c>
    </row>
    <row r="302" spans="1:4" x14ac:dyDescent="0.3">
      <c r="A302" s="3"/>
      <c r="B302" s="8" t="s">
        <v>1210</v>
      </c>
      <c r="C302" s="8" t="s">
        <v>1209</v>
      </c>
      <c r="D302" s="110" t="s">
        <v>1206</v>
      </c>
    </row>
    <row r="303" spans="1:4" x14ac:dyDescent="0.3">
      <c r="A303" s="3" t="s">
        <v>1207</v>
      </c>
      <c r="B303" s="4">
        <f>COUNTIF('ZANGBA_Cleaned Data'!ZQ:ZQ,"OUI")</f>
        <v>0</v>
      </c>
      <c r="C303" s="4">
        <f>COUNTIF('ZANGBA_Cleaned Data'!ZQ:ZQ,"non")</f>
        <v>2</v>
      </c>
      <c r="D303" s="111">
        <f>SUM(B303:C303)</f>
        <v>2</v>
      </c>
    </row>
    <row r="304" spans="1:4" ht="37.5" x14ac:dyDescent="0.3">
      <c r="A304" s="53" t="s">
        <v>3290</v>
      </c>
      <c r="B304" s="39">
        <f>(B303/$E$9)</f>
        <v>0</v>
      </c>
      <c r="C304" s="39">
        <f>(C303/$E$9)</f>
        <v>1</v>
      </c>
      <c r="D304" s="100">
        <f>SUM(B304:C304)</f>
        <v>1</v>
      </c>
    </row>
  </sheetData>
  <mergeCells count="2">
    <mergeCell ref="A4:B4"/>
    <mergeCell ref="A138:D138"/>
  </mergeCells>
  <conditionalFormatting sqref="A94:M95 D99:M101 D105:M106 F102:M102 D110:M110 J107:M109 B92:N92 D116 D120:M120 L117:M119 F96:M98 F116:M116 F104:M104 G103:M103">
    <cfRule type="colorScale" priority="53">
      <colorScale>
        <cfvo type="min"/>
        <cfvo type="max"/>
        <color theme="6" tint="0.79998168889431442"/>
        <color theme="5" tint="0.39997558519241921"/>
      </colorScale>
    </cfRule>
  </conditionalFormatting>
  <conditionalFormatting sqref="B134:F134">
    <cfRule type="colorScale" priority="52">
      <colorScale>
        <cfvo type="min"/>
        <cfvo type="max"/>
        <color theme="6" tint="0.79998168889431442"/>
        <color theme="5" tint="0.39997558519241921"/>
      </colorScale>
    </cfRule>
  </conditionalFormatting>
  <conditionalFormatting sqref="D157:M157">
    <cfRule type="colorScale" priority="51">
      <colorScale>
        <cfvo type="min"/>
        <cfvo type="max"/>
        <color theme="6" tint="0.79998168889431442"/>
        <color theme="5" tint="0.39997558519241921"/>
      </colorScale>
    </cfRule>
  </conditionalFormatting>
  <conditionalFormatting sqref="B162:G162">
    <cfRule type="colorScale" priority="50">
      <colorScale>
        <cfvo type="min"/>
        <cfvo type="max"/>
        <color theme="6" tint="0.79998168889431442"/>
        <color theme="5" tint="0.39997558519241921"/>
      </colorScale>
    </cfRule>
  </conditionalFormatting>
  <conditionalFormatting sqref="B44:J44">
    <cfRule type="colorScale" priority="49">
      <colorScale>
        <cfvo type="min"/>
        <cfvo type="max"/>
        <color theme="6" tint="0.79998168889431442"/>
        <color theme="5" tint="0.39997558519241921"/>
      </colorScale>
    </cfRule>
  </conditionalFormatting>
  <conditionalFormatting sqref="D118:K118">
    <cfRule type="colorScale" priority="48">
      <colorScale>
        <cfvo type="min"/>
        <cfvo type="max"/>
        <color theme="6" tint="0.79998168889431442"/>
        <color theme="5" tint="0.39997558519241921"/>
      </colorScale>
    </cfRule>
  </conditionalFormatting>
  <conditionalFormatting sqref="B189:F189">
    <cfRule type="colorScale" priority="47">
      <colorScale>
        <cfvo type="min"/>
        <cfvo type="max"/>
        <color theme="6" tint="0.79998168889431442"/>
        <color theme="5" tint="0.39997558519241921"/>
      </colorScale>
    </cfRule>
  </conditionalFormatting>
  <conditionalFormatting sqref="A181:F182 B179:G179 E183:F185">
    <cfRule type="colorScale" priority="46">
      <colorScale>
        <cfvo type="min"/>
        <cfvo type="max"/>
        <color theme="6" tint="0.79998168889431442"/>
        <color theme="5" tint="0.39997558519241921"/>
      </colorScale>
    </cfRule>
  </conditionalFormatting>
  <conditionalFormatting sqref="A194:P194">
    <cfRule type="colorScale" priority="45">
      <colorScale>
        <cfvo type="min"/>
        <cfvo type="max"/>
        <color theme="6" tint="0.79998168889431442"/>
        <color theme="5" tint="0.39997558519241921"/>
      </colorScale>
    </cfRule>
  </conditionalFormatting>
  <conditionalFormatting sqref="A198:L198">
    <cfRule type="colorScale" priority="44">
      <colorScale>
        <cfvo type="min"/>
        <cfvo type="max"/>
        <color theme="6" tint="0.79998168889431442"/>
        <color theme="5" tint="0.39997558519241921"/>
      </colorScale>
    </cfRule>
  </conditionalFormatting>
  <conditionalFormatting sqref="A228:M228">
    <cfRule type="colorScale" priority="43">
      <colorScale>
        <cfvo type="min"/>
        <cfvo type="max"/>
        <color theme="6" tint="0.79998168889431442"/>
        <color theme="5" tint="0.39997558519241921"/>
      </colorScale>
    </cfRule>
  </conditionalFormatting>
  <conditionalFormatting sqref="C238:J238">
    <cfRule type="colorScale" priority="42">
      <colorScale>
        <cfvo type="min"/>
        <cfvo type="max"/>
        <color theme="6" tint="0.79998168889431442"/>
        <color theme="5" tint="0.39997558519241921"/>
      </colorScale>
    </cfRule>
  </conditionalFormatting>
  <conditionalFormatting sqref="C258:J258">
    <cfRule type="colorScale" priority="41">
      <colorScale>
        <cfvo type="min"/>
        <cfvo type="max"/>
        <color theme="6" tint="0.79998168889431442"/>
        <color theme="5" tint="0.39997558519241921"/>
      </colorScale>
    </cfRule>
  </conditionalFormatting>
  <conditionalFormatting sqref="D268:H268">
    <cfRule type="colorScale" priority="40">
      <colorScale>
        <cfvo type="min"/>
        <cfvo type="max"/>
        <color theme="6" tint="0.79998168889431442"/>
        <color theme="5" tint="0.39997558519241921"/>
      </colorScale>
    </cfRule>
  </conditionalFormatting>
  <conditionalFormatting sqref="B9:D9">
    <cfRule type="colorScale" priority="39">
      <colorScale>
        <cfvo type="min"/>
        <cfvo type="max"/>
        <color theme="6" tint="0.79998168889431442"/>
        <color theme="5" tint="0.39997558519241921"/>
      </colorScale>
    </cfRule>
  </conditionalFormatting>
  <conditionalFormatting sqref="C14:M14">
    <cfRule type="colorScale" priority="38">
      <colorScale>
        <cfvo type="min"/>
        <cfvo type="max"/>
        <color theme="6" tint="0.79998168889431442"/>
        <color theme="5" tint="0.39997558519241921"/>
      </colorScale>
    </cfRule>
  </conditionalFormatting>
  <conditionalFormatting sqref="C19:G19">
    <cfRule type="colorScale" priority="37">
      <colorScale>
        <cfvo type="min"/>
        <cfvo type="max"/>
        <color theme="6" tint="0.79998168889431442"/>
        <color theme="5" tint="0.39997558519241921"/>
      </colorScale>
    </cfRule>
  </conditionalFormatting>
  <conditionalFormatting sqref="C29:G29">
    <cfRule type="colorScale" priority="36">
      <colorScale>
        <cfvo type="min"/>
        <cfvo type="max"/>
        <color theme="6" tint="0.79998168889431442"/>
        <color theme="5" tint="0.39997558519241921"/>
      </colorScale>
    </cfRule>
  </conditionalFormatting>
  <conditionalFormatting sqref="B49:D49">
    <cfRule type="colorScale" priority="35">
      <colorScale>
        <cfvo type="min"/>
        <cfvo type="max"/>
        <color theme="6" tint="0.79998168889431442"/>
        <color theme="5" tint="0.39997558519241921"/>
      </colorScale>
    </cfRule>
  </conditionalFormatting>
  <conditionalFormatting sqref="C57:D57">
    <cfRule type="colorScale" priority="34">
      <colorScale>
        <cfvo type="min"/>
        <cfvo type="max"/>
        <color theme="6" tint="0.79998168889431442"/>
        <color theme="5" tint="0.39997558519241921"/>
      </colorScale>
    </cfRule>
  </conditionalFormatting>
  <conditionalFormatting sqref="C66:D66">
    <cfRule type="colorScale" priority="33">
      <colorScale>
        <cfvo type="min"/>
        <cfvo type="max"/>
        <color theme="6" tint="0.79998168889431442"/>
        <color theme="5" tint="0.39997558519241921"/>
      </colorScale>
    </cfRule>
  </conditionalFormatting>
  <conditionalFormatting sqref="B71:C71">
    <cfRule type="colorScale" priority="32">
      <colorScale>
        <cfvo type="min"/>
        <cfvo type="max"/>
        <color theme="6" tint="0.79998168889431442"/>
        <color theme="5" tint="0.39997558519241921"/>
      </colorScale>
    </cfRule>
  </conditionalFormatting>
  <conditionalFormatting sqref="B81:C81">
    <cfRule type="colorScale" priority="31">
      <colorScale>
        <cfvo type="min"/>
        <cfvo type="max"/>
        <color theme="6" tint="0.79998168889431442"/>
        <color theme="5" tint="0.39997558519241921"/>
      </colorScale>
    </cfRule>
  </conditionalFormatting>
  <conditionalFormatting sqref="B34:C34">
    <cfRule type="colorScale" priority="30">
      <colorScale>
        <cfvo type="min"/>
        <cfvo type="max"/>
        <color theme="6" tint="0.79998168889431442"/>
        <color theme="5" tint="0.39997558519241921"/>
      </colorScale>
    </cfRule>
  </conditionalFormatting>
  <conditionalFormatting sqref="C39:E39">
    <cfRule type="colorScale" priority="29">
      <colorScale>
        <cfvo type="min"/>
        <cfvo type="max"/>
        <color theme="6" tint="0.79998168889431442"/>
        <color theme="5" tint="0.39997558519241921"/>
      </colorScale>
    </cfRule>
  </conditionalFormatting>
  <conditionalFormatting sqref="B129:C129">
    <cfRule type="colorScale" priority="28">
      <colorScale>
        <cfvo type="min"/>
        <cfvo type="max"/>
        <color theme="6" tint="0.79998168889431442"/>
        <color theme="5" tint="0.39997558519241921"/>
      </colorScale>
    </cfRule>
  </conditionalFormatting>
  <conditionalFormatting sqref="B142:C142">
    <cfRule type="colorScale" priority="27">
      <colorScale>
        <cfvo type="min"/>
        <cfvo type="max"/>
        <color theme="6" tint="0.79998168889431442"/>
        <color theme="5" tint="0.39997558519241921"/>
      </colorScale>
    </cfRule>
  </conditionalFormatting>
  <conditionalFormatting sqref="D154:I154">
    <cfRule type="colorScale" priority="26">
      <colorScale>
        <cfvo type="min"/>
        <cfvo type="max"/>
        <color theme="6" tint="0.79998168889431442"/>
        <color theme="5" tint="0.39997558519241921"/>
      </colorScale>
    </cfRule>
  </conditionalFormatting>
  <conditionalFormatting sqref="D152:J152">
    <cfRule type="colorScale" priority="25">
      <colorScale>
        <cfvo type="min"/>
        <cfvo type="max"/>
        <color theme="6" tint="0.79998168889431442"/>
        <color theme="5" tint="0.39997558519241921"/>
      </colorScale>
    </cfRule>
  </conditionalFormatting>
  <conditionalFormatting sqref="C103:D103">
    <cfRule type="colorScale" priority="24">
      <colorScale>
        <cfvo type="min"/>
        <cfvo type="max"/>
        <color theme="6" tint="0.79998168889431442"/>
        <color theme="5" tint="0.39997558519241921"/>
      </colorScale>
    </cfRule>
  </conditionalFormatting>
  <conditionalFormatting sqref="K115:M115 D111 L112:M114 F111:M111">
    <cfRule type="colorScale" priority="23">
      <colorScale>
        <cfvo type="min"/>
        <cfvo type="max"/>
        <color theme="6" tint="0.79998168889431442"/>
        <color theme="5" tint="0.39997558519241921"/>
      </colorScale>
    </cfRule>
  </conditionalFormatting>
  <conditionalFormatting sqref="D115:J115 D113:K113">
    <cfRule type="colorScale" priority="22">
      <colorScale>
        <cfvo type="min"/>
        <cfvo type="max"/>
        <color theme="6" tint="0.79998168889431442"/>
        <color theme="5" tint="0.39997558519241921"/>
      </colorScale>
    </cfRule>
  </conditionalFormatting>
  <conditionalFormatting sqref="B184:C184">
    <cfRule type="colorScale" priority="21">
      <colorScale>
        <cfvo type="min"/>
        <cfvo type="max"/>
        <color theme="6" tint="0.79998168889431442"/>
        <color theme="5" tint="0.39997558519241921"/>
      </colorScale>
    </cfRule>
  </conditionalFormatting>
  <conditionalFormatting sqref="B202:C202">
    <cfRule type="colorScale" priority="20">
      <colorScale>
        <cfvo type="min"/>
        <cfvo type="max"/>
        <color theme="6" tint="0.79998168889431442"/>
        <color theme="5" tint="0.39997558519241921"/>
      </colorScale>
    </cfRule>
  </conditionalFormatting>
  <conditionalFormatting sqref="C213:O213">
    <cfRule type="colorScale" priority="19">
      <colorScale>
        <cfvo type="min"/>
        <cfvo type="max"/>
        <color theme="6" tint="0.79998168889431442"/>
        <color theme="5" tint="0.39997558519241921"/>
      </colorScale>
    </cfRule>
  </conditionalFormatting>
  <conditionalFormatting sqref="D223:H223">
    <cfRule type="colorScale" priority="18">
      <colorScale>
        <cfvo type="min"/>
        <cfvo type="max"/>
        <color theme="6" tint="0.79998168889431442"/>
        <color theme="5" tint="0.39997558519241921"/>
      </colorScale>
    </cfRule>
  </conditionalFormatting>
  <conditionalFormatting sqref="C207:I207">
    <cfRule type="colorScale" priority="17">
      <colorScale>
        <cfvo type="min"/>
        <cfvo type="max"/>
        <color theme="6" tint="0.79998168889431442"/>
        <color theme="5" tint="0.39997558519241921"/>
      </colorScale>
    </cfRule>
  </conditionalFormatting>
  <conditionalFormatting sqref="C218:D218">
    <cfRule type="colorScale" priority="16">
      <colorScale>
        <cfvo type="min"/>
        <cfvo type="max"/>
        <color theme="6" tint="0.79998168889431442"/>
        <color theme="5" tint="0.39997558519241921"/>
      </colorScale>
    </cfRule>
  </conditionalFormatting>
  <conditionalFormatting sqref="B233:C233">
    <cfRule type="colorScale" priority="15">
      <colorScale>
        <cfvo type="min"/>
        <cfvo type="max"/>
        <color theme="6" tint="0.79998168889431442"/>
        <color theme="5" tint="0.39997558519241921"/>
      </colorScale>
    </cfRule>
  </conditionalFormatting>
  <conditionalFormatting sqref="B243:C243">
    <cfRule type="colorScale" priority="14">
      <colorScale>
        <cfvo type="min"/>
        <cfvo type="max"/>
        <color theme="6" tint="0.79998168889431442"/>
        <color theme="5" tint="0.39997558519241921"/>
      </colorScale>
    </cfRule>
  </conditionalFormatting>
  <conditionalFormatting sqref="B248:C248">
    <cfRule type="colorScale" priority="13">
      <colorScale>
        <cfvo type="min"/>
        <cfvo type="max"/>
        <color theme="6" tint="0.79998168889431442"/>
        <color theme="5" tint="0.39997558519241921"/>
      </colorScale>
    </cfRule>
  </conditionalFormatting>
  <conditionalFormatting sqref="B253:C253">
    <cfRule type="colorScale" priority="12">
      <colorScale>
        <cfvo type="min"/>
        <cfvo type="max"/>
        <color theme="6" tint="0.79998168889431442"/>
        <color theme="5" tint="0.39997558519241921"/>
      </colorScale>
    </cfRule>
  </conditionalFormatting>
  <conditionalFormatting sqref="C263:D263">
    <cfRule type="colorScale" priority="11">
      <colorScale>
        <cfvo type="min"/>
        <cfvo type="max"/>
        <color theme="6" tint="0.79998168889431442"/>
        <color theme="5" tint="0.39997558519241921"/>
      </colorScale>
    </cfRule>
  </conditionalFormatting>
  <conditionalFormatting sqref="B123:G123">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B97:D97">
    <cfRule type="colorScale" priority="8">
      <colorScale>
        <cfvo type="min"/>
        <cfvo type="max"/>
        <color theme="6" tint="0.79998168889431442"/>
        <color theme="5" tint="0.39997558519241921"/>
      </colorScale>
    </cfRule>
  </conditionalFormatting>
  <conditionalFormatting sqref="C147:F147">
    <cfRule type="colorScale" priority="7">
      <colorScale>
        <cfvo type="min"/>
        <cfvo type="max"/>
        <color theme="6" tint="0.79998168889431442"/>
        <color theme="5" tint="0.39997558519241921"/>
      </colorScale>
    </cfRule>
  </conditionalFormatting>
  <conditionalFormatting sqref="C24:J24">
    <cfRule type="colorScale" priority="6">
      <colorScale>
        <cfvo type="min"/>
        <cfvo type="max"/>
        <color theme="6" tint="0.79998168889431442"/>
        <color theme="5" tint="0.39997558519241921"/>
      </colorScale>
    </cfRule>
  </conditionalFormatting>
  <conditionalFormatting sqref="K24">
    <cfRule type="colorScale" priority="5">
      <colorScale>
        <cfvo type="min"/>
        <cfvo type="max"/>
        <color theme="6" tint="0.79998168889431442"/>
        <color theme="5" tint="0.39997558519241921"/>
      </colorScale>
    </cfRule>
  </conditionalFormatting>
  <conditionalFormatting sqref="L24">
    <cfRule type="colorScale" priority="4">
      <colorScale>
        <cfvo type="min"/>
        <cfvo type="max"/>
        <color theme="6" tint="0.79998168889431442"/>
        <color theme="5" tint="0.39997558519241921"/>
      </colorScale>
    </cfRule>
  </conditionalFormatting>
  <conditionalFormatting sqref="C76:G76">
    <cfRule type="colorScale" priority="3">
      <colorScale>
        <cfvo type="min"/>
        <cfvo type="max"/>
        <color theme="6" tint="0.79998168889431442"/>
        <color theme="5" tint="0.39997558519241921"/>
      </colorScale>
    </cfRule>
  </conditionalFormatting>
  <conditionalFormatting sqref="H108">
    <cfRule type="colorScale" priority="2">
      <colorScale>
        <cfvo type="min"/>
        <cfvo type="max"/>
        <color theme="6" tint="0.79998168889431442"/>
        <color theme="5" tint="0.39997558519241921"/>
      </colorScale>
    </cfRule>
  </conditionalFormatting>
  <conditionalFormatting sqref="J15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Z209"/>
  <sheetViews>
    <sheetView zoomScale="90" zoomScaleNormal="90" workbookViewId="0">
      <selection activeCell="K195" sqref="K195"/>
    </sheetView>
  </sheetViews>
  <sheetFormatPr defaultColWidth="8.81640625" defaultRowHeight="14" x14ac:dyDescent="0.3"/>
  <cols>
    <col min="1" max="1" width="15.1796875" style="10" customWidth="1"/>
    <col min="2" max="2" width="12.6328125" style="10" customWidth="1"/>
    <col min="3" max="3" width="13.90625" style="10" customWidth="1"/>
    <col min="4" max="4" width="16.36328125" style="10" customWidth="1"/>
    <col min="5" max="5" width="16.81640625" style="10" customWidth="1"/>
    <col min="6" max="6" width="12.6328125" style="10" customWidth="1"/>
    <col min="7" max="7" width="12.36328125" style="10" customWidth="1"/>
    <col min="8" max="8" width="12.1796875" style="10" customWidth="1"/>
    <col min="9" max="9" width="8.81640625" style="10"/>
    <col min="10" max="10" width="11.81640625" style="10" customWidth="1"/>
    <col min="11" max="11" width="16.453125" style="10" customWidth="1"/>
    <col min="12" max="12" width="19.453125" style="10" customWidth="1"/>
    <col min="13" max="16384" width="8.81640625" style="10"/>
  </cols>
  <sheetData>
    <row r="2" spans="1:7" ht="15.5" x14ac:dyDescent="0.35">
      <c r="A2" s="9" t="s">
        <v>1294</v>
      </c>
    </row>
    <row r="3" spans="1:7" ht="15.5" x14ac:dyDescent="0.35">
      <c r="A3" s="29" t="s">
        <v>1410</v>
      </c>
      <c r="B3" s="21">
        <f>COUNTIFS('ZANGBA_Cleaned Data'!N:N,"education",'ZANGBA_Cleaned Data'!K:K,"ZANGBA")</f>
        <v>4</v>
      </c>
    </row>
    <row r="5" spans="1:7" ht="15.5" x14ac:dyDescent="0.35">
      <c r="A5" s="29" t="s">
        <v>1933</v>
      </c>
    </row>
    <row r="6" spans="1:7" ht="42" x14ac:dyDescent="0.3">
      <c r="A6" s="3"/>
      <c r="B6" s="8" t="s">
        <v>1275</v>
      </c>
      <c r="C6" s="8" t="s">
        <v>1276</v>
      </c>
      <c r="D6" s="8" t="s">
        <v>1277</v>
      </c>
      <c r="E6" s="8" t="s">
        <v>3337</v>
      </c>
      <c r="F6" s="51" t="s">
        <v>3274</v>
      </c>
    </row>
    <row r="7" spans="1:7" x14ac:dyDescent="0.3">
      <c r="A7" s="3" t="s">
        <v>1207</v>
      </c>
      <c r="B7" s="4">
        <f>COUNTIF('ZANGBA_Cleaned Data'!YK:ZT,"public")</f>
        <v>4</v>
      </c>
      <c r="C7" s="4">
        <f>COUNTIF('ZANGBA_Cleaned Data'!ZT:ZT,"prive")</f>
        <v>0</v>
      </c>
      <c r="D7" s="4">
        <f>COUNTIF('ZANGBA_Cleaned Data'!ZT:ZT,"religieux")</f>
        <v>0</v>
      </c>
      <c r="E7" s="4">
        <f>COUNTIF('ZANGBA_Cleaned Data'!ZT:ZT,"communautaire")</f>
        <v>0</v>
      </c>
      <c r="F7" s="52">
        <f>SUM(B7:E7)</f>
        <v>4</v>
      </c>
    </row>
    <row r="8" spans="1:7" ht="26" x14ac:dyDescent="0.3">
      <c r="A8" s="53" t="s">
        <v>3273</v>
      </c>
      <c r="B8" s="7">
        <f>(B7/$B$3)</f>
        <v>1</v>
      </c>
      <c r="C8" s="7">
        <f t="shared" ref="C8:E8" si="0">(C7/$B$3)</f>
        <v>0</v>
      </c>
      <c r="D8" s="7">
        <f t="shared" si="0"/>
        <v>0</v>
      </c>
      <c r="E8" s="7">
        <f t="shared" si="0"/>
        <v>0</v>
      </c>
      <c r="F8" s="113">
        <f>SUM(B8:E8)</f>
        <v>1</v>
      </c>
    </row>
    <row r="9" spans="1:7" x14ac:dyDescent="0.3">
      <c r="A9" s="14"/>
      <c r="B9" s="15"/>
      <c r="C9" s="15"/>
      <c r="D9" s="15"/>
    </row>
    <row r="10" spans="1:7" ht="15.5" x14ac:dyDescent="0.35">
      <c r="A10" s="45" t="s">
        <v>1957</v>
      </c>
      <c r="B10" s="15"/>
      <c r="C10" s="15"/>
      <c r="D10" s="14"/>
      <c r="E10" s="14"/>
    </row>
    <row r="11" spans="1:7" ht="42" x14ac:dyDescent="0.3">
      <c r="A11" s="3"/>
      <c r="B11" s="8" t="s">
        <v>1958</v>
      </c>
      <c r="C11" s="8" t="s">
        <v>1959</v>
      </c>
      <c r="D11" s="8" t="s">
        <v>1960</v>
      </c>
      <c r="E11" s="8" t="s">
        <v>1961</v>
      </c>
      <c r="F11" s="8" t="s">
        <v>1205</v>
      </c>
      <c r="G11" s="114" t="s">
        <v>1206</v>
      </c>
    </row>
    <row r="12" spans="1:7" x14ac:dyDescent="0.3">
      <c r="A12" s="3" t="s">
        <v>1207</v>
      </c>
      <c r="B12" s="4">
        <f>COUNTIF('ZANGBA_Cleaned Data'!ABE:ABE,"f1")</f>
        <v>4</v>
      </c>
      <c r="C12" s="4">
        <f>COUNTIF('ZANGBA_Cleaned Data'!ABE:ABE,"f2")</f>
        <v>0</v>
      </c>
      <c r="D12" s="4">
        <f>COUNTIF('ZANGBA_Cleaned Data'!ABE:ABE,"etp")</f>
        <v>0</v>
      </c>
      <c r="E12" s="4">
        <f>COUNTIF('ZANGBA_Cleaned Data'!ABE:ABE,"coranique")</f>
        <v>0</v>
      </c>
      <c r="F12" s="4">
        <f>COUNTIF('ZANGBA_Cleaned Data'!ABH:ABH,"autre")</f>
        <v>0</v>
      </c>
      <c r="G12" s="111">
        <f>SUM(B12:F12)</f>
        <v>4</v>
      </c>
    </row>
    <row r="13" spans="1:7" ht="26" x14ac:dyDescent="0.3">
      <c r="A13" s="53" t="s">
        <v>3273</v>
      </c>
      <c r="B13" s="7">
        <f>(B12/$B$3)</f>
        <v>1</v>
      </c>
      <c r="C13" s="7">
        <f t="shared" ref="C13:F13" si="1">(C12/$B$3)</f>
        <v>0</v>
      </c>
      <c r="D13" s="7">
        <f t="shared" si="1"/>
        <v>0</v>
      </c>
      <c r="E13" s="7">
        <f t="shared" si="1"/>
        <v>0</v>
      </c>
      <c r="F13" s="7">
        <f t="shared" si="1"/>
        <v>0</v>
      </c>
      <c r="G13" s="116">
        <f>SUM(B13:F13)</f>
        <v>1</v>
      </c>
    </row>
    <row r="15" spans="1:7" ht="15.5" x14ac:dyDescent="0.35">
      <c r="A15" s="9" t="s">
        <v>1285</v>
      </c>
    </row>
    <row r="16" spans="1:7" ht="15.5" x14ac:dyDescent="0.35">
      <c r="A16" s="29" t="s">
        <v>1934</v>
      </c>
    </row>
    <row r="17" spans="1:26" x14ac:dyDescent="0.3">
      <c r="A17" s="3"/>
      <c r="B17" s="8" t="s">
        <v>1278</v>
      </c>
      <c r="C17" s="8" t="s">
        <v>1279</v>
      </c>
      <c r="D17" s="8" t="s">
        <v>1280</v>
      </c>
      <c r="E17" s="114" t="s">
        <v>1206</v>
      </c>
    </row>
    <row r="18" spans="1:26" x14ac:dyDescent="0.3">
      <c r="A18" s="3" t="s">
        <v>1207</v>
      </c>
      <c r="B18" s="4">
        <f>COUNTIF('ZANGBA_Cleaned Data'!ZV:ZV,"durable")</f>
        <v>2</v>
      </c>
      <c r="C18" s="4">
        <f>COUNTIF('ZANGBA_Cleaned Data'!ZV:ZV,"hangar")</f>
        <v>1</v>
      </c>
      <c r="D18" s="4">
        <f>COUNTIF('ZANGBA_Cleaned Data'!ZV:ZV,"hangar_traditionnel")</f>
        <v>1</v>
      </c>
      <c r="E18" s="111">
        <f>SUM(B18:D18)</f>
        <v>4</v>
      </c>
    </row>
    <row r="19" spans="1:26" ht="26" x14ac:dyDescent="0.3">
      <c r="A19" s="53" t="s">
        <v>3273</v>
      </c>
      <c r="B19" s="7">
        <f>B18/$B$3</f>
        <v>0.5</v>
      </c>
      <c r="C19" s="7">
        <f t="shared" ref="C19:D19" si="2">C18/$B$3</f>
        <v>0.25</v>
      </c>
      <c r="D19" s="7">
        <f t="shared" si="2"/>
        <v>0.25</v>
      </c>
      <c r="E19" s="116">
        <f>SUM(B19:D19)</f>
        <v>1</v>
      </c>
    </row>
    <row r="20" spans="1:26" x14ac:dyDescent="0.3">
      <c r="A20" s="14"/>
      <c r="B20" s="15"/>
      <c r="C20" s="15"/>
      <c r="D20" s="15"/>
      <c r="E20" s="26"/>
    </row>
    <row r="21" spans="1:26" ht="15.5" x14ac:dyDescent="0.35">
      <c r="A21" s="45" t="s">
        <v>1935</v>
      </c>
      <c r="B21" s="15"/>
      <c r="C21" s="15"/>
      <c r="D21" s="15"/>
      <c r="E21" s="26"/>
    </row>
    <row r="22" spans="1:26" ht="28" x14ac:dyDescent="0.3">
      <c r="A22" s="3"/>
      <c r="B22" s="8" t="s">
        <v>1210</v>
      </c>
      <c r="C22" s="8" t="s">
        <v>1209</v>
      </c>
      <c r="D22" s="8" t="s">
        <v>1936</v>
      </c>
      <c r="E22" s="71" t="s">
        <v>1975</v>
      </c>
    </row>
    <row r="23" spans="1:26" x14ac:dyDescent="0.3">
      <c r="A23" s="3" t="s">
        <v>1207</v>
      </c>
      <c r="B23" s="4">
        <f>COUNTIF('ZANGBA_Cleaned Data'!ZX:ZX,"Oui")</f>
        <v>4</v>
      </c>
      <c r="C23" s="4">
        <f>COUNTIF('ZANGBA_Cleaned Data'!ZX:ZX,"non")</f>
        <v>0</v>
      </c>
      <c r="D23" s="4">
        <f>COUNTIF('ZANGBA_Cleaned Data'!ZX:ZX,"partiel")</f>
        <v>0</v>
      </c>
      <c r="E23" s="72">
        <f>B23+D23</f>
        <v>4</v>
      </c>
    </row>
    <row r="24" spans="1:26" ht="26" x14ac:dyDescent="0.3">
      <c r="A24" s="53" t="s">
        <v>3273</v>
      </c>
      <c r="B24" s="7">
        <f>B23/$B$3</f>
        <v>1</v>
      </c>
      <c r="C24" s="7">
        <f t="shared" ref="C24:D24" si="3">C23/$B$3</f>
        <v>0</v>
      </c>
      <c r="D24" s="7">
        <f t="shared" si="3"/>
        <v>0</v>
      </c>
      <c r="E24" s="119">
        <f>B24+D24</f>
        <v>1</v>
      </c>
    </row>
    <row r="25" spans="1:26" x14ac:dyDescent="0.3">
      <c r="A25" s="14"/>
      <c r="B25" s="15"/>
      <c r="C25" s="15"/>
      <c r="D25" s="15"/>
      <c r="E25" s="26"/>
    </row>
    <row r="26" spans="1:26" x14ac:dyDescent="0.3">
      <c r="B26" s="18" t="s">
        <v>1952</v>
      </c>
      <c r="D26" s="103" t="s">
        <v>3245</v>
      </c>
    </row>
    <row r="27" spans="1:26" s="36" customFormat="1" ht="77.5" customHeight="1" x14ac:dyDescent="0.3">
      <c r="B27" s="3"/>
      <c r="C27" s="12" t="s">
        <v>1937</v>
      </c>
      <c r="D27" s="12" t="s">
        <v>1938</v>
      </c>
      <c r="E27" s="12" t="s">
        <v>1939</v>
      </c>
      <c r="F27" s="12" t="s">
        <v>1940</v>
      </c>
      <c r="G27" s="12" t="s">
        <v>1941</v>
      </c>
      <c r="H27" s="12" t="s">
        <v>1942</v>
      </c>
      <c r="I27" s="12" t="s">
        <v>1943</v>
      </c>
      <c r="J27" s="12" t="s">
        <v>1905</v>
      </c>
      <c r="K27" s="12" t="s">
        <v>1220</v>
      </c>
    </row>
    <row r="28" spans="1:26" x14ac:dyDescent="0.3">
      <c r="B28" s="3" t="s">
        <v>1207</v>
      </c>
      <c r="C28" s="3">
        <f>COUNTIF('ZANGBA_Cleaned Data'!AAK:AAK,"1")</f>
        <v>0</v>
      </c>
      <c r="D28" s="3">
        <f>COUNTIF('ZANGBA_Cleaned Data'!AAL:AAL,"1")</f>
        <v>0</v>
      </c>
      <c r="E28" s="3">
        <f>COUNTIF('ZANGBA_Cleaned Data'!AAM:AAM,"1")</f>
        <v>0</v>
      </c>
      <c r="F28" s="3">
        <f>COUNTIF('ZANGBA_Cleaned Data'!AAN:AAN,"1")</f>
        <v>0</v>
      </c>
      <c r="G28" s="3">
        <f>COUNTIF('ZANGBA_Cleaned Data'!AAO:AAO,"1")</f>
        <v>0</v>
      </c>
      <c r="H28" s="3">
        <f>COUNTIF('ZANGBA_Cleaned Data'!AAP:AAP,"1")</f>
        <v>0</v>
      </c>
      <c r="I28" s="3">
        <f>COUNTIF('ZANGBA_Cleaned Data'!AAQ:AAQ,"1")</f>
        <v>0</v>
      </c>
      <c r="J28" s="3">
        <f>COUNTIF('ZANGBA_Cleaned Data'!AAR:AAR,"1")</f>
        <v>0</v>
      </c>
      <c r="K28" s="3">
        <f>COUNTIF('ZANGBA_Cleaned Data'!AAS:AAS,"1")</f>
        <v>0</v>
      </c>
    </row>
    <row r="29" spans="1:26" ht="37.5" x14ac:dyDescent="0.3">
      <c r="B29" s="53" t="s">
        <v>3275</v>
      </c>
      <c r="C29" s="7" t="e">
        <f>C28/$C$23</f>
        <v>#DIV/0!</v>
      </c>
      <c r="D29" s="7" t="e">
        <f t="shared" ref="D29:K29" si="4">D28/$C$23</f>
        <v>#DIV/0!</v>
      </c>
      <c r="E29" s="7" t="e">
        <f t="shared" si="4"/>
        <v>#DIV/0!</v>
      </c>
      <c r="F29" s="7" t="e">
        <f t="shared" si="4"/>
        <v>#DIV/0!</v>
      </c>
      <c r="G29" s="7" t="e">
        <f t="shared" si="4"/>
        <v>#DIV/0!</v>
      </c>
      <c r="H29" s="7" t="e">
        <f t="shared" si="4"/>
        <v>#DIV/0!</v>
      </c>
      <c r="I29" s="7" t="e">
        <f t="shared" si="4"/>
        <v>#DIV/0!</v>
      </c>
      <c r="J29" s="7" t="e">
        <f t="shared" si="4"/>
        <v>#DIV/0!</v>
      </c>
      <c r="K29" s="7" t="e">
        <f t="shared" si="4"/>
        <v>#DIV/0!</v>
      </c>
    </row>
    <row r="31" spans="1:26" s="1" customFormat="1" x14ac:dyDescent="0.3">
      <c r="A31" s="10"/>
      <c r="B31" s="17" t="s">
        <v>1951</v>
      </c>
      <c r="C31" s="14"/>
      <c r="D31" s="10"/>
      <c r="E31" s="10"/>
      <c r="F31" s="10"/>
      <c r="G31" s="10"/>
      <c r="I31" s="10"/>
      <c r="J31" s="10"/>
      <c r="K31" s="10"/>
      <c r="L31" s="10"/>
      <c r="M31" s="10"/>
      <c r="N31" s="10"/>
      <c r="O31" s="10"/>
      <c r="P31" s="10"/>
      <c r="Q31" s="10"/>
      <c r="R31" s="10"/>
      <c r="S31" s="10"/>
      <c r="T31" s="10"/>
      <c r="U31" s="10"/>
      <c r="V31" s="10"/>
      <c r="W31" s="10"/>
      <c r="X31" s="10"/>
      <c r="Y31" s="10"/>
      <c r="Z31" s="10"/>
    </row>
    <row r="32" spans="1:26" s="1" customFormat="1" x14ac:dyDescent="0.3">
      <c r="A32" s="10"/>
      <c r="B32" s="3"/>
      <c r="C32" s="118" t="s">
        <v>1861</v>
      </c>
      <c r="D32" s="118" t="s">
        <v>1862</v>
      </c>
      <c r="E32" s="118" t="s">
        <v>1863</v>
      </c>
      <c r="F32" s="118" t="s">
        <v>1864</v>
      </c>
      <c r="G32" s="118" t="s">
        <v>1905</v>
      </c>
      <c r="H32" s="114" t="s">
        <v>1206</v>
      </c>
      <c r="I32" s="10"/>
      <c r="J32" s="10"/>
      <c r="K32" s="10"/>
      <c r="L32" s="10"/>
      <c r="M32" s="10"/>
      <c r="N32" s="10"/>
      <c r="O32" s="10"/>
      <c r="P32" s="10"/>
      <c r="Q32" s="10"/>
      <c r="R32" s="10"/>
      <c r="S32" s="10"/>
      <c r="T32" s="10"/>
      <c r="U32" s="10"/>
      <c r="V32" s="10"/>
      <c r="W32" s="10"/>
      <c r="X32" s="10"/>
      <c r="Y32" s="10"/>
      <c r="Z32" s="10"/>
    </row>
    <row r="33" spans="1:26" s="1" customFormat="1" ht="14.5" customHeight="1" x14ac:dyDescent="0.3">
      <c r="A33" s="10"/>
      <c r="B33" s="3" t="s">
        <v>1207</v>
      </c>
      <c r="C33" s="3">
        <f>COUNTIF('ZANGBA_Cleaned Data'!AAU:AAU,"moins_six_mois")</f>
        <v>0</v>
      </c>
      <c r="D33" s="3">
        <f>COUNTIF('ZANGBA_Cleaned Data'!AAU:AAU,"six_mois_un_an ")</f>
        <v>0</v>
      </c>
      <c r="E33" s="3">
        <f>COUNTIF('ZANGBA_Cleaned Data'!AAU:AAU,"un_an_trois_ans")</f>
        <v>0</v>
      </c>
      <c r="F33" s="3">
        <f>COUNTIF('ZANGBA_Cleaned Data'!AAU:AAU,"plus_trois_ans")</f>
        <v>0</v>
      </c>
      <c r="G33" s="3">
        <f>COUNTIF('ZANGBA_Cleaned Data'!AAU:AAU,"nsp")</f>
        <v>0</v>
      </c>
      <c r="H33" s="111">
        <f>SUM(C33:G33)</f>
        <v>0</v>
      </c>
      <c r="I33" s="10"/>
      <c r="J33" s="74" t="s">
        <v>2310</v>
      </c>
      <c r="K33" s="74"/>
      <c r="L33" s="10"/>
      <c r="M33" s="10"/>
      <c r="N33" s="10"/>
      <c r="O33" s="10"/>
      <c r="P33" s="10"/>
      <c r="Q33" s="10"/>
      <c r="R33" s="10"/>
      <c r="S33" s="10"/>
      <c r="T33" s="10"/>
      <c r="U33" s="10"/>
      <c r="V33" s="10"/>
      <c r="W33" s="10"/>
      <c r="X33" s="10"/>
      <c r="Y33" s="10"/>
      <c r="Z33" s="10"/>
    </row>
    <row r="34" spans="1:26" ht="37.5" x14ac:dyDescent="0.3">
      <c r="B34" s="53" t="s">
        <v>3275</v>
      </c>
      <c r="C34" s="7" t="e">
        <f>C33/$C$23</f>
        <v>#DIV/0!</v>
      </c>
      <c r="D34" s="7" t="e">
        <f t="shared" ref="D34:G34" si="5">D33/$C$23</f>
        <v>#DIV/0!</v>
      </c>
      <c r="E34" s="7" t="e">
        <f t="shared" si="5"/>
        <v>#DIV/0!</v>
      </c>
      <c r="F34" s="7" t="e">
        <f t="shared" si="5"/>
        <v>#DIV/0!</v>
      </c>
      <c r="G34" s="7" t="e">
        <f t="shared" si="5"/>
        <v>#DIV/0!</v>
      </c>
      <c r="H34" s="116" t="e">
        <f>SUM(C34:G34)</f>
        <v>#DIV/0!</v>
      </c>
    </row>
    <row r="35" spans="1:26" x14ac:dyDescent="0.3">
      <c r="A35" s="14"/>
      <c r="B35" s="15"/>
      <c r="C35" s="15"/>
      <c r="D35" s="15"/>
      <c r="E35" s="26"/>
    </row>
    <row r="36" spans="1:26" x14ac:dyDescent="0.3">
      <c r="B36" s="18" t="s">
        <v>1953</v>
      </c>
      <c r="E36" s="103" t="s">
        <v>3245</v>
      </c>
    </row>
    <row r="37" spans="1:26" ht="77.5" customHeight="1" x14ac:dyDescent="0.3">
      <c r="B37" s="3"/>
      <c r="C37" s="12" t="s">
        <v>1944</v>
      </c>
      <c r="D37" s="12" t="s">
        <v>1949</v>
      </c>
      <c r="E37" s="12" t="s">
        <v>1945</v>
      </c>
      <c r="F37" s="12" t="s">
        <v>1946</v>
      </c>
      <c r="G37" s="12" t="s">
        <v>1947</v>
      </c>
      <c r="H37" s="12" t="s">
        <v>1948</v>
      </c>
      <c r="I37" s="12" t="s">
        <v>1905</v>
      </c>
      <c r="J37" s="12" t="s">
        <v>1220</v>
      </c>
    </row>
    <row r="38" spans="1:26" x14ac:dyDescent="0.3">
      <c r="B38" s="3" t="s">
        <v>1207</v>
      </c>
      <c r="C38" s="3">
        <f>COUNTIF('ZANGBA_Cleaned Data'!ZZ:ZZ,"1")</f>
        <v>0</v>
      </c>
      <c r="D38" s="3">
        <f>COUNTIF('ZANGBA_Cleaned Data'!AAA:AAA,"1")</f>
        <v>0</v>
      </c>
      <c r="E38" s="3">
        <f>COUNTIF('ZANGBA_Cleaned Data'!AAB:AAB,"1")</f>
        <v>0</v>
      </c>
      <c r="F38" s="3">
        <f>COUNTIF('ZANGBA_Cleaned Data'!AAC:AAC,"1")</f>
        <v>0</v>
      </c>
      <c r="G38" s="3">
        <f>COUNTIF('ZANGBA_Cleaned Data'!AAD:AAD,"1")</f>
        <v>0</v>
      </c>
      <c r="H38" s="3">
        <f>COUNTIF('ZANGBA_Cleaned Data'!AAE:AAE,"1")</f>
        <v>0</v>
      </c>
      <c r="I38" s="3">
        <f>COUNTIF('ZANGBA_Cleaned Data'!AAF:AAF,"1")</f>
        <v>0</v>
      </c>
      <c r="J38" s="3">
        <f>COUNTIF('ZANGBA_Cleaned Data'!AAG:AAG,"1")</f>
        <v>0</v>
      </c>
    </row>
    <row r="39" spans="1:26" ht="49" x14ac:dyDescent="0.3">
      <c r="B39" s="53" t="s">
        <v>3276</v>
      </c>
      <c r="C39" s="7" t="e">
        <f>C38/$D$23</f>
        <v>#DIV/0!</v>
      </c>
      <c r="D39" s="7" t="e">
        <f t="shared" ref="D39:J39" si="6">D38/$D$23</f>
        <v>#DIV/0!</v>
      </c>
      <c r="E39" s="7" t="e">
        <f t="shared" si="6"/>
        <v>#DIV/0!</v>
      </c>
      <c r="F39" s="7" t="e">
        <f t="shared" si="6"/>
        <v>#DIV/0!</v>
      </c>
      <c r="G39" s="7" t="e">
        <f t="shared" si="6"/>
        <v>#DIV/0!</v>
      </c>
      <c r="H39" s="7" t="e">
        <f t="shared" si="6"/>
        <v>#DIV/0!</v>
      </c>
      <c r="I39" s="7" t="e">
        <f t="shared" si="6"/>
        <v>#DIV/0!</v>
      </c>
      <c r="J39" s="7" t="e">
        <f t="shared" si="6"/>
        <v>#DIV/0!</v>
      </c>
    </row>
    <row r="40" spans="1:26" x14ac:dyDescent="0.3">
      <c r="B40" s="50"/>
    </row>
    <row r="41" spans="1:26" s="1" customFormat="1" x14ac:dyDescent="0.3">
      <c r="A41" s="10"/>
      <c r="B41" s="17" t="s">
        <v>1950</v>
      </c>
      <c r="D41" s="14"/>
      <c r="E41" s="10"/>
      <c r="F41" s="10"/>
      <c r="G41" s="10"/>
      <c r="H41" s="10"/>
      <c r="I41" s="10"/>
      <c r="J41" s="10"/>
      <c r="K41" s="10"/>
      <c r="L41" s="10"/>
      <c r="M41" s="10"/>
      <c r="N41" s="10"/>
      <c r="O41" s="10"/>
      <c r="P41" s="10"/>
      <c r="Q41" s="10"/>
      <c r="R41" s="10"/>
      <c r="S41" s="10"/>
      <c r="T41" s="10"/>
      <c r="U41" s="10"/>
      <c r="V41" s="10"/>
      <c r="W41" s="10"/>
      <c r="X41" s="10"/>
      <c r="Y41" s="10"/>
      <c r="Z41" s="10"/>
    </row>
    <row r="42" spans="1:26" s="1" customFormat="1" x14ac:dyDescent="0.3">
      <c r="A42" s="10"/>
      <c r="B42" s="3"/>
      <c r="C42" s="6" t="s">
        <v>1861</v>
      </c>
      <c r="D42" s="6" t="s">
        <v>1862</v>
      </c>
      <c r="E42" s="6" t="s">
        <v>1863</v>
      </c>
      <c r="F42" s="6" t="s">
        <v>1864</v>
      </c>
      <c r="G42" s="6" t="s">
        <v>1905</v>
      </c>
      <c r="H42" s="114" t="s">
        <v>1206</v>
      </c>
      <c r="I42" s="10"/>
      <c r="J42" s="10"/>
      <c r="K42" s="10"/>
      <c r="L42" s="10"/>
      <c r="M42" s="10"/>
      <c r="N42" s="10"/>
      <c r="O42" s="10"/>
      <c r="P42" s="10"/>
      <c r="Q42" s="10"/>
      <c r="R42" s="10"/>
      <c r="S42" s="10"/>
      <c r="T42" s="10"/>
      <c r="U42" s="10"/>
      <c r="V42" s="10"/>
      <c r="W42" s="10"/>
      <c r="X42" s="10"/>
      <c r="Y42" s="10"/>
      <c r="Z42" s="10"/>
    </row>
    <row r="43" spans="1:26" s="1" customFormat="1" x14ac:dyDescent="0.3">
      <c r="A43" s="10"/>
      <c r="B43" s="3" t="s">
        <v>1207</v>
      </c>
      <c r="C43" s="3">
        <f>COUNTIF('ZANGBA_Cleaned Data'!AAI:AAI,"moins_six_mois")</f>
        <v>0</v>
      </c>
      <c r="D43" s="3">
        <f>COUNTIF('ZANGBA_Cleaned Data'!AAI:AAI,"six_mois_un_an ")</f>
        <v>0</v>
      </c>
      <c r="E43" s="3">
        <f>COUNTIF('ZANGBA_Cleaned Data'!AAI:AAI,"un_an_trois_ans")</f>
        <v>0</v>
      </c>
      <c r="F43" s="3">
        <f>COUNTIF('ZANGBA_Cleaned Data'!AAI:AAI,"plus_trois_ans")</f>
        <v>0</v>
      </c>
      <c r="G43" s="3">
        <f>COUNTIF('ZANGBA_Cleaned Data'!AAI:AAI,"nsp")</f>
        <v>0</v>
      </c>
      <c r="H43" s="111">
        <f>SUM(C43:G43)</f>
        <v>0</v>
      </c>
      <c r="I43" s="10"/>
      <c r="J43" s="10"/>
      <c r="K43" s="10"/>
      <c r="L43" s="10"/>
      <c r="M43" s="10"/>
      <c r="N43" s="10"/>
      <c r="O43" s="10"/>
      <c r="P43" s="10"/>
      <c r="Q43" s="10"/>
      <c r="R43" s="10"/>
      <c r="S43" s="10"/>
      <c r="T43" s="10"/>
      <c r="U43" s="10"/>
      <c r="V43" s="10"/>
      <c r="W43" s="10"/>
      <c r="X43" s="10"/>
      <c r="Y43" s="10"/>
      <c r="Z43" s="10"/>
    </row>
    <row r="44" spans="1:26" s="1" customFormat="1" ht="53" customHeight="1" x14ac:dyDescent="0.3">
      <c r="A44" s="10"/>
      <c r="B44" s="53" t="s">
        <v>3276</v>
      </c>
      <c r="C44" s="7" t="e">
        <f>C43/$D$23</f>
        <v>#DIV/0!</v>
      </c>
      <c r="D44" s="7" t="e">
        <f t="shared" ref="D44:G44" si="7">D43/$D$23</f>
        <v>#DIV/0!</v>
      </c>
      <c r="E44" s="7" t="e">
        <f t="shared" si="7"/>
        <v>#DIV/0!</v>
      </c>
      <c r="F44" s="7" t="e">
        <f t="shared" si="7"/>
        <v>#DIV/0!</v>
      </c>
      <c r="G44" s="7" t="e">
        <f t="shared" si="7"/>
        <v>#DIV/0!</v>
      </c>
      <c r="H44" s="116" t="e">
        <f>SUM(C44:G44)</f>
        <v>#DIV/0!</v>
      </c>
      <c r="I44" s="10"/>
      <c r="J44" s="10"/>
      <c r="K44" s="10"/>
      <c r="L44" s="10"/>
      <c r="M44" s="10"/>
      <c r="N44" s="10"/>
      <c r="O44" s="10"/>
      <c r="P44" s="10"/>
      <c r="Q44" s="10"/>
      <c r="R44" s="10"/>
      <c r="S44" s="10"/>
      <c r="T44" s="10"/>
      <c r="U44" s="10"/>
      <c r="V44" s="10"/>
      <c r="W44" s="10"/>
      <c r="X44" s="10"/>
      <c r="Y44" s="10"/>
      <c r="Z44" s="10"/>
    </row>
    <row r="45" spans="1:26" ht="14.5" customHeight="1" x14ac:dyDescent="0.3">
      <c r="B45" s="14"/>
      <c r="C45" s="15"/>
      <c r="D45" s="15"/>
      <c r="E45" s="15"/>
      <c r="F45" s="15"/>
      <c r="G45" s="15"/>
    </row>
    <row r="46" spans="1:26" ht="14.5" customHeight="1" x14ac:dyDescent="0.35">
      <c r="A46" s="29" t="s">
        <v>1954</v>
      </c>
      <c r="B46" s="14"/>
      <c r="C46" s="15"/>
      <c r="D46" s="15"/>
      <c r="E46" s="103" t="s">
        <v>3245</v>
      </c>
      <c r="F46" s="15"/>
      <c r="G46" s="15"/>
    </row>
    <row r="47" spans="1:26" s="64" customFormat="1" ht="63.5" customHeight="1" x14ac:dyDescent="0.35">
      <c r="A47" s="54"/>
      <c r="B47" s="35" t="s">
        <v>1281</v>
      </c>
      <c r="C47" s="35" t="s">
        <v>1955</v>
      </c>
      <c r="D47" s="35" t="s">
        <v>1282</v>
      </c>
      <c r="E47" s="35" t="s">
        <v>1283</v>
      </c>
      <c r="F47" s="35" t="s">
        <v>1284</v>
      </c>
      <c r="G47" s="35" t="s">
        <v>1205</v>
      </c>
      <c r="H47" s="35" t="s">
        <v>1905</v>
      </c>
    </row>
    <row r="48" spans="1:26" ht="14.5" customHeight="1" x14ac:dyDescent="0.3">
      <c r="A48" s="3" t="s">
        <v>1207</v>
      </c>
      <c r="B48" s="4">
        <f>COUNTIF('ZANGBA_Cleaned Data'!AAW:AAW,"1")</f>
        <v>0</v>
      </c>
      <c r="C48" s="4">
        <f>COUNTIF('ZANGBA_Cleaned Data'!AAX:AAX,"1")</f>
        <v>0</v>
      </c>
      <c r="D48" s="4">
        <f>COUNTIF('ZANGBA_Cleaned Data'!AAY:AAY,"1")</f>
        <v>0</v>
      </c>
      <c r="E48" s="4">
        <f>COUNTIF('ZANGBA_Cleaned Data'!AAZ:AAZ,"1")</f>
        <v>0</v>
      </c>
      <c r="F48" s="4">
        <f>COUNTIF('ZANGBA_Cleaned Data'!ABA:ABA,"1")</f>
        <v>0</v>
      </c>
      <c r="G48" s="4">
        <f>COUNTIF('ZANGBA_Cleaned Data'!ABB:ABB,"1")</f>
        <v>0</v>
      </c>
      <c r="H48" s="4">
        <f>COUNTIF('ZANGBA_Cleaned Data'!ABC:ABC,"1")</f>
        <v>0</v>
      </c>
      <c r="I48" s="87" t="s">
        <v>2309</v>
      </c>
      <c r="J48" s="87"/>
    </row>
    <row r="49" spans="1:12" ht="40" customHeight="1" x14ac:dyDescent="0.3">
      <c r="A49" s="54" t="s">
        <v>1956</v>
      </c>
      <c r="B49" s="7" t="e">
        <f>B48/SUM(C28,C38)</f>
        <v>#DIV/0!</v>
      </c>
      <c r="C49" s="7" t="e">
        <f>C48/SUM(C28,C38)</f>
        <v>#DIV/0!</v>
      </c>
      <c r="D49" s="7" t="e">
        <f>D48/SUM(C28,C38)</f>
        <v>#DIV/0!</v>
      </c>
      <c r="E49" s="7" t="e">
        <f>E48/SUM(C28,C38)</f>
        <v>#DIV/0!</v>
      </c>
      <c r="F49" s="7" t="e">
        <f>F48/SUM(C28,C38)</f>
        <v>#DIV/0!</v>
      </c>
      <c r="G49" s="7" t="e">
        <f>G48/SUM(C28,C38)</f>
        <v>#DIV/0!</v>
      </c>
      <c r="H49" s="7" t="e">
        <f>H48/SUM(C28,C38)</f>
        <v>#DIV/0!</v>
      </c>
    </row>
    <row r="50" spans="1:12" ht="18.5" customHeight="1" x14ac:dyDescent="0.3">
      <c r="A50" s="65"/>
      <c r="B50" s="15"/>
      <c r="C50" s="15"/>
      <c r="D50" s="15"/>
      <c r="E50" s="15"/>
      <c r="F50" s="15"/>
      <c r="G50" s="15"/>
    </row>
    <row r="51" spans="1:12" ht="15.5" x14ac:dyDescent="0.35">
      <c r="A51" s="29" t="s">
        <v>1303</v>
      </c>
      <c r="C51" s="103" t="s">
        <v>3245</v>
      </c>
    </row>
    <row r="52" spans="1:12" ht="42" x14ac:dyDescent="0.3">
      <c r="A52" s="54"/>
      <c r="B52" s="8" t="s">
        <v>1896</v>
      </c>
      <c r="C52" s="8" t="s">
        <v>1889</v>
      </c>
      <c r="D52" s="8" t="s">
        <v>1890</v>
      </c>
      <c r="E52" s="8" t="s">
        <v>1893</v>
      </c>
      <c r="F52" s="8" t="s">
        <v>1239</v>
      </c>
      <c r="G52" s="8" t="s">
        <v>1894</v>
      </c>
      <c r="H52" s="8" t="s">
        <v>1895</v>
      </c>
      <c r="I52" s="8" t="s">
        <v>1905</v>
      </c>
      <c r="J52" s="8" t="s">
        <v>1205</v>
      </c>
      <c r="K52" s="8" t="s">
        <v>1891</v>
      </c>
      <c r="L52" s="8" t="s">
        <v>1892</v>
      </c>
    </row>
    <row r="53" spans="1:12" x14ac:dyDescent="0.3">
      <c r="A53" s="3" t="s">
        <v>1207</v>
      </c>
      <c r="B53" s="4">
        <f>COUNTIF('ZANGBA_Cleaned Data'!ABM:ABM,"1")</f>
        <v>1</v>
      </c>
      <c r="C53" s="4">
        <f>COUNTIF('ZANGBA_Cleaned Data'!ABN:ABN,"1")</f>
        <v>1</v>
      </c>
      <c r="D53" s="4">
        <f>COUNTIF('ZANGBA_Cleaned Data'!ABO:ABO,"1")</f>
        <v>0</v>
      </c>
      <c r="E53" s="4">
        <f>COUNTIF('ZANGBA_Cleaned Data'!ABP:ABP,"1")</f>
        <v>0</v>
      </c>
      <c r="F53" s="4">
        <f>COUNTIF('ZANGBA_Cleaned Data'!ABQ:ABQ,"1")</f>
        <v>0</v>
      </c>
      <c r="G53" s="4">
        <f>COUNTIF('ZANGBA_Cleaned Data'!ABR:ABR,"1")</f>
        <v>1</v>
      </c>
      <c r="H53" s="4">
        <f>COUNTIF('ZANGBA_Cleaned Data'!ABX:ABX,"1")</f>
        <v>0</v>
      </c>
      <c r="I53" s="4">
        <f>COUNTIF('ZANGBA_Cleaned Data'!ABT:ABT,"1")</f>
        <v>0</v>
      </c>
      <c r="J53" s="4">
        <f>COUNTIF('ZANGBA_Cleaned Data'!ABU:ABU,"1")</f>
        <v>2</v>
      </c>
      <c r="K53" s="4">
        <f>COUNTIF('ZANGBA_Cleaned Data'!ABV:ABV,"1")</f>
        <v>0</v>
      </c>
      <c r="L53" s="4">
        <f>COUNTIF('ZANGBA_Cleaned Data'!ABW:ABW,"1")</f>
        <v>0</v>
      </c>
    </row>
    <row r="54" spans="1:12" ht="26" x14ac:dyDescent="0.3">
      <c r="A54" s="53" t="s">
        <v>3273</v>
      </c>
      <c r="B54" s="7">
        <f>B53/$B$3</f>
        <v>0.25</v>
      </c>
      <c r="C54" s="7">
        <f t="shared" ref="C54:L54" si="8">C53/$B$3</f>
        <v>0.25</v>
      </c>
      <c r="D54" s="7">
        <f t="shared" si="8"/>
        <v>0</v>
      </c>
      <c r="E54" s="7">
        <f t="shared" si="8"/>
        <v>0</v>
      </c>
      <c r="F54" s="7">
        <f t="shared" si="8"/>
        <v>0</v>
      </c>
      <c r="G54" s="7">
        <f t="shared" si="8"/>
        <v>0.25</v>
      </c>
      <c r="H54" s="7">
        <f t="shared" si="8"/>
        <v>0</v>
      </c>
      <c r="I54" s="7">
        <f t="shared" si="8"/>
        <v>0</v>
      </c>
      <c r="J54" s="7">
        <f t="shared" si="8"/>
        <v>0.5</v>
      </c>
      <c r="K54" s="7">
        <f t="shared" si="8"/>
        <v>0</v>
      </c>
      <c r="L54" s="7">
        <f t="shared" si="8"/>
        <v>0</v>
      </c>
    </row>
    <row r="55" spans="1:12" x14ac:dyDescent="0.3">
      <c r="A55" s="65"/>
      <c r="J55" s="74" t="s">
        <v>3277</v>
      </c>
    </row>
    <row r="56" spans="1:12" x14ac:dyDescent="0.3">
      <c r="A56" s="18" t="s">
        <v>1286</v>
      </c>
    </row>
    <row r="57" spans="1:12" x14ac:dyDescent="0.3">
      <c r="A57" s="3"/>
      <c r="B57" s="8" t="s">
        <v>1210</v>
      </c>
      <c r="C57" s="8" t="s">
        <v>1209</v>
      </c>
      <c r="D57" s="114" t="s">
        <v>1206</v>
      </c>
    </row>
    <row r="58" spans="1:12" x14ac:dyDescent="0.3">
      <c r="A58" s="3" t="s">
        <v>1207</v>
      </c>
      <c r="B58" s="4">
        <f>COUNTIF('ZANGBA_Cleaned Data'!ACA:ACA,"Oui")</f>
        <v>1</v>
      </c>
      <c r="C58" s="4">
        <f>COUNTIF('ZANGBA_Cleaned Data'!ACA:ACA,"non")</f>
        <v>3</v>
      </c>
      <c r="D58" s="111">
        <f>SUM(B58:C58)</f>
        <v>4</v>
      </c>
    </row>
    <row r="59" spans="1:12" ht="26" x14ac:dyDescent="0.3">
      <c r="A59" s="53" t="s">
        <v>3273</v>
      </c>
      <c r="B59" s="7">
        <f>B58/$B$3</f>
        <v>0.25</v>
      </c>
      <c r="C59" s="7">
        <f>C58/$B$3</f>
        <v>0.75</v>
      </c>
      <c r="D59" s="116">
        <f>SUM(B59:C59)</f>
        <v>1</v>
      </c>
    </row>
    <row r="61" spans="1:12" x14ac:dyDescent="0.3">
      <c r="B61" s="18" t="s">
        <v>1287</v>
      </c>
    </row>
    <row r="62" spans="1:12" x14ac:dyDescent="0.3">
      <c r="B62" s="21">
        <f>AVERAGE('ZANGBA_Cleaned Data'!ACB:ACB)</f>
        <v>2</v>
      </c>
    </row>
    <row r="63" spans="1:12" x14ac:dyDescent="0.3">
      <c r="B63" s="21"/>
    </row>
    <row r="64" spans="1:12" x14ac:dyDescent="0.3">
      <c r="B64" s="18" t="s">
        <v>1288</v>
      </c>
    </row>
    <row r="65" spans="1:5" x14ac:dyDescent="0.3">
      <c r="B65" s="3"/>
      <c r="C65" s="11" t="s">
        <v>1210</v>
      </c>
      <c r="D65" s="11" t="s">
        <v>1209</v>
      </c>
      <c r="E65" s="114" t="s">
        <v>1206</v>
      </c>
    </row>
    <row r="66" spans="1:5" x14ac:dyDescent="0.3">
      <c r="B66" s="3" t="s">
        <v>1207</v>
      </c>
      <c r="C66" s="4">
        <f>COUNTIF('ZANGBA_Cleaned Data'!ACC:ACC,"Oui")</f>
        <v>1</v>
      </c>
      <c r="D66" s="4">
        <f>COUNTIF('ZANGBA_Cleaned Data'!ACC:ACC,"non")</f>
        <v>0</v>
      </c>
      <c r="E66" s="111">
        <f>SUM(C66:D66)</f>
        <v>1</v>
      </c>
    </row>
    <row r="67" spans="1:5" ht="49" x14ac:dyDescent="0.3">
      <c r="B67" s="53" t="s">
        <v>3278</v>
      </c>
      <c r="C67" s="7">
        <f>C66/$B$58</f>
        <v>1</v>
      </c>
      <c r="D67" s="7">
        <f>D66/$B$58</f>
        <v>0</v>
      </c>
      <c r="E67" s="116">
        <f>SUM(C67:D67)</f>
        <v>1</v>
      </c>
    </row>
    <row r="68" spans="1:5" x14ac:dyDescent="0.3">
      <c r="B68" s="14"/>
      <c r="C68" s="15"/>
      <c r="D68" s="15"/>
    </row>
    <row r="69" spans="1:5" x14ac:dyDescent="0.3">
      <c r="C69" s="18" t="s">
        <v>1289</v>
      </c>
    </row>
    <row r="70" spans="1:5" x14ac:dyDescent="0.3">
      <c r="C70" s="21">
        <f>AVERAGE('ZANGBA_Cleaned Data'!ACD:ACD)</f>
        <v>1</v>
      </c>
    </row>
    <row r="71" spans="1:5" x14ac:dyDescent="0.3">
      <c r="C71" s="18" t="s">
        <v>1290</v>
      </c>
    </row>
    <row r="72" spans="1:5" x14ac:dyDescent="0.3">
      <c r="C72" s="21">
        <f>AVERAGE('ZANGBA_Cleaned Data'!ACF:ACF)</f>
        <v>1</v>
      </c>
    </row>
    <row r="73" spans="1:5" x14ac:dyDescent="0.3">
      <c r="B73" s="21"/>
    </row>
    <row r="74" spans="1:5" x14ac:dyDescent="0.3">
      <c r="B74" s="18" t="s">
        <v>1292</v>
      </c>
    </row>
    <row r="75" spans="1:5" x14ac:dyDescent="0.3">
      <c r="B75" s="3"/>
      <c r="C75" s="11" t="s">
        <v>1210</v>
      </c>
      <c r="D75" s="11" t="s">
        <v>1209</v>
      </c>
      <c r="E75" s="114" t="s">
        <v>1206</v>
      </c>
    </row>
    <row r="76" spans="1:5" x14ac:dyDescent="0.3">
      <c r="B76" s="3" t="s">
        <v>1207</v>
      </c>
      <c r="C76" s="4">
        <f>COUNTIF('ZANGBA_Cleaned Data'!ACI:ACI,"Oui")</f>
        <v>0</v>
      </c>
      <c r="D76" s="4">
        <f>COUNTIF('ZANGBA_Cleaned Data'!ACI:ACI,"non")</f>
        <v>1</v>
      </c>
      <c r="E76" s="111">
        <f>SUM(C76:D76)</f>
        <v>1</v>
      </c>
    </row>
    <row r="77" spans="1:5" ht="49" x14ac:dyDescent="0.3">
      <c r="B77" s="53" t="s">
        <v>3278</v>
      </c>
      <c r="C77" s="7">
        <f>C76/$B$58</f>
        <v>0</v>
      </c>
      <c r="D77" s="7">
        <f>D76/$B$58</f>
        <v>1</v>
      </c>
      <c r="E77" s="116">
        <f>SUM(C77:D77)</f>
        <v>1</v>
      </c>
    </row>
    <row r="78" spans="1:5" x14ac:dyDescent="0.3">
      <c r="B78" s="18"/>
    </row>
    <row r="79" spans="1:5" x14ac:dyDescent="0.3">
      <c r="A79" s="18" t="s">
        <v>1291</v>
      </c>
    </row>
    <row r="80" spans="1:5" x14ac:dyDescent="0.3">
      <c r="A80" s="3"/>
      <c r="B80" s="8" t="s">
        <v>1210</v>
      </c>
      <c r="C80" s="8" t="s">
        <v>1209</v>
      </c>
      <c r="D80" s="114" t="s">
        <v>1206</v>
      </c>
    </row>
    <row r="81" spans="1:12" x14ac:dyDescent="0.3">
      <c r="A81" s="3" t="s">
        <v>1207</v>
      </c>
      <c r="B81" s="4">
        <f>COUNTIF('ZANGBA_Cleaned Data'!ACJ:ACJ,"Oui")</f>
        <v>0</v>
      </c>
      <c r="C81" s="4">
        <f>COUNTIF('ZANGBA_Cleaned Data'!ACJ:ACJ,"non")</f>
        <v>4</v>
      </c>
      <c r="D81" s="111">
        <f>SUM(B81:C81)</f>
        <v>4</v>
      </c>
    </row>
    <row r="82" spans="1:12" ht="26" x14ac:dyDescent="0.3">
      <c r="A82" s="53" t="s">
        <v>3273</v>
      </c>
      <c r="B82" s="7">
        <f>B81/$B$3</f>
        <v>0</v>
      </c>
      <c r="C82" s="7">
        <f>C81/$B$3</f>
        <v>1</v>
      </c>
      <c r="D82" s="116">
        <f>SUM(B82:C82)</f>
        <v>1</v>
      </c>
    </row>
    <row r="83" spans="1:12" x14ac:dyDescent="0.3">
      <c r="A83" s="14"/>
      <c r="B83" s="15"/>
      <c r="C83" s="15"/>
    </row>
    <row r="84" spans="1:12" x14ac:dyDescent="0.3">
      <c r="A84" s="14"/>
      <c r="B84" s="15" t="s">
        <v>2829</v>
      </c>
      <c r="C84" s="15"/>
    </row>
    <row r="85" spans="1:12" ht="45.5" customHeight="1" x14ac:dyDescent="0.3">
      <c r="A85" s="14"/>
      <c r="B85" s="3"/>
      <c r="C85" s="11" t="s">
        <v>2836</v>
      </c>
      <c r="D85" s="11" t="s">
        <v>2830</v>
      </c>
      <c r="E85" s="11" t="s">
        <v>2831</v>
      </c>
      <c r="F85" s="11" t="s">
        <v>1203</v>
      </c>
      <c r="G85" s="11" t="s">
        <v>2835</v>
      </c>
      <c r="H85" s="11" t="s">
        <v>2834</v>
      </c>
      <c r="I85" s="11" t="s">
        <v>2833</v>
      </c>
      <c r="J85" s="11" t="s">
        <v>2832</v>
      </c>
      <c r="K85" s="11" t="s">
        <v>1205</v>
      </c>
      <c r="L85" s="114" t="s">
        <v>1206</v>
      </c>
    </row>
    <row r="86" spans="1:12" x14ac:dyDescent="0.3">
      <c r="A86" s="14"/>
      <c r="B86" s="3" t="s">
        <v>1207</v>
      </c>
      <c r="C86" s="4">
        <f>COUNTIF('ZANGBA_Cleaned Data'!ACK:ACK,"fontaine")</f>
        <v>0</v>
      </c>
      <c r="D86" s="4">
        <f>COUNTIF('ZANGBA_Cleaned Data'!ACK:ACK,"pompe_main")</f>
        <v>0</v>
      </c>
      <c r="E86" s="4">
        <f>COUNTIF('ZANGBA_Cleaned Data'!ACK:ACK,"pompe_pied")</f>
        <v>0</v>
      </c>
      <c r="F86" s="4">
        <f>COUNTIF('ZANGBA_Cleaned Data'!ACK:ACK,"puits_protege")</f>
        <v>0</v>
      </c>
      <c r="G86" s="4">
        <f>COUNTIF('ZANGBA_Cleaned Data'!ACK:ACK,"puits_non_protege")</f>
        <v>0</v>
      </c>
      <c r="H86" s="4">
        <f>COUNTIF('ZANGBA_Cleaned Data'!ACK:ACK,"source_amenagee")</f>
        <v>0</v>
      </c>
      <c r="I86" s="4">
        <f>COUNTIF('ZANGBA_Cleaned Data'!ACK:ACK,"source_non_amenagee")</f>
        <v>0</v>
      </c>
      <c r="J86" s="4">
        <f>COUNTIF('ZANGBA_Cleaned Data'!ACK:ACK,"camion")</f>
        <v>0</v>
      </c>
      <c r="K86" s="4">
        <f>COUNTIF('ZANGBA_Cleaned Data'!ACK:ACK,"autre")</f>
        <v>0</v>
      </c>
      <c r="L86" s="111">
        <f>SUM(C86:K86)</f>
        <v>0</v>
      </c>
    </row>
    <row r="87" spans="1:12" ht="49" x14ac:dyDescent="0.3">
      <c r="A87" s="14"/>
      <c r="B87" s="53" t="s">
        <v>3279</v>
      </c>
      <c r="C87" s="7" t="e">
        <f>C86/$B$81</f>
        <v>#DIV/0!</v>
      </c>
      <c r="D87" s="7" t="e">
        <f t="shared" ref="D87:K87" si="9">D86/$B$81</f>
        <v>#DIV/0!</v>
      </c>
      <c r="E87" s="7" t="e">
        <f t="shared" si="9"/>
        <v>#DIV/0!</v>
      </c>
      <c r="F87" s="7" t="e">
        <f t="shared" si="9"/>
        <v>#DIV/0!</v>
      </c>
      <c r="G87" s="7" t="e">
        <f t="shared" si="9"/>
        <v>#DIV/0!</v>
      </c>
      <c r="H87" s="7" t="e">
        <f t="shared" si="9"/>
        <v>#DIV/0!</v>
      </c>
      <c r="I87" s="7" t="e">
        <f t="shared" si="9"/>
        <v>#DIV/0!</v>
      </c>
      <c r="J87" s="7" t="e">
        <f t="shared" si="9"/>
        <v>#DIV/0!</v>
      </c>
      <c r="K87" s="7" t="e">
        <f t="shared" si="9"/>
        <v>#DIV/0!</v>
      </c>
      <c r="L87" s="116" t="e">
        <f>SUM(C87:K87)</f>
        <v>#DIV/0!</v>
      </c>
    </row>
    <row r="89" spans="1:12" x14ac:dyDescent="0.3">
      <c r="A89" s="21" t="s">
        <v>1302</v>
      </c>
    </row>
    <row r="90" spans="1:12" ht="15.5" x14ac:dyDescent="0.35">
      <c r="A90" s="67" t="s">
        <v>1964</v>
      </c>
      <c r="E90" s="29" t="s">
        <v>1963</v>
      </c>
    </row>
    <row r="91" spans="1:12" x14ac:dyDescent="0.3">
      <c r="A91" s="66">
        <f>AVERAGE('ZANGBA_Cleaned Data'!ABZ:ABZ)</f>
        <v>2.75</v>
      </c>
      <c r="E91" s="19">
        <f>AVERAGE('ZANGBA_Cleaned Data'!ACN:ACN)</f>
        <v>388.75</v>
      </c>
    </row>
    <row r="92" spans="1:12" x14ac:dyDescent="0.3">
      <c r="A92" s="66"/>
    </row>
    <row r="93" spans="1:12" x14ac:dyDescent="0.3">
      <c r="A93" s="66"/>
      <c r="D93" s="70">
        <f>E91/A91</f>
        <v>141.36363636363637</v>
      </c>
      <c r="E93" s="68" t="s">
        <v>1965</v>
      </c>
    </row>
    <row r="94" spans="1:12" x14ac:dyDescent="0.3">
      <c r="A94" s="66"/>
    </row>
    <row r="95" spans="1:12" ht="15.5" x14ac:dyDescent="0.35">
      <c r="A95" s="18" t="s">
        <v>1967</v>
      </c>
      <c r="E95" s="29" t="s">
        <v>1966</v>
      </c>
    </row>
    <row r="96" spans="1:12" x14ac:dyDescent="0.3">
      <c r="A96" s="69">
        <f>AVERAGEIF('ZANGBA_Cleaned Data'!ZT:ZT,"public", 'ZANGBA_Cleaned Data'!ABZ:ABZ)</f>
        <v>2.75</v>
      </c>
      <c r="E96" s="19">
        <f>AVERAGEIF('ZANGBA_Cleaned Data'!ZT:ZT,"public",'ZANGBA_Cleaned Data'!ACN:ACN)</f>
        <v>388.75</v>
      </c>
    </row>
    <row r="98" spans="1:7" x14ac:dyDescent="0.3">
      <c r="D98" s="70">
        <f>E96/A96</f>
        <v>141.36363636363637</v>
      </c>
      <c r="E98" s="68" t="s">
        <v>1965</v>
      </c>
    </row>
    <row r="100" spans="1:7" ht="15.5" x14ac:dyDescent="0.35">
      <c r="A100" s="18" t="s">
        <v>1969</v>
      </c>
      <c r="E100" s="18"/>
    </row>
    <row r="101" spans="1:7" x14ac:dyDescent="0.3">
      <c r="A101" s="93">
        <f>AVERAGE('ZANGBA_Cleaned Data'!ACO:ACO)</f>
        <v>110</v>
      </c>
      <c r="E101" s="18"/>
    </row>
    <row r="102" spans="1:7" ht="15.5" x14ac:dyDescent="0.35">
      <c r="A102" s="29" t="s">
        <v>1968</v>
      </c>
      <c r="E102" s="18"/>
    </row>
    <row r="103" spans="1:7" x14ac:dyDescent="0.3">
      <c r="A103" s="93">
        <f>AVERAGE('ZANGBA_Cleaned Data'!ACQ:ACQ)</f>
        <v>278.75</v>
      </c>
      <c r="E103" s="19"/>
    </row>
    <row r="105" spans="1:7" x14ac:dyDescent="0.3">
      <c r="A105" s="31" t="s">
        <v>1976</v>
      </c>
    </row>
    <row r="106" spans="1:7" x14ac:dyDescent="0.3">
      <c r="A106" s="3"/>
      <c r="B106" s="8" t="s">
        <v>1210</v>
      </c>
      <c r="C106" s="8" t="s">
        <v>1209</v>
      </c>
      <c r="D106" s="8" t="s">
        <v>3259</v>
      </c>
      <c r="E106" s="114" t="s">
        <v>1206</v>
      </c>
    </row>
    <row r="107" spans="1:7" x14ac:dyDescent="0.3">
      <c r="A107" s="3" t="s">
        <v>1207</v>
      </c>
      <c r="B107" s="4">
        <f>COUNTIF('ZANGBA_Cleaned Data'!ACV:ACV,"Oui")</f>
        <v>4</v>
      </c>
      <c r="C107" s="4">
        <f>COUNTIF('ZANGBA_Cleaned Data'!ACV:ACV,"non")</f>
        <v>0</v>
      </c>
      <c r="D107" s="4">
        <f>COUNTIF('ZANGBA_Cleaned Data'!ACV:ACV,"nsp")</f>
        <v>0</v>
      </c>
      <c r="E107" s="111">
        <f>SUM(B107:D107)</f>
        <v>4</v>
      </c>
    </row>
    <row r="108" spans="1:7" ht="37.5" x14ac:dyDescent="0.3">
      <c r="A108" s="53" t="s">
        <v>3280</v>
      </c>
      <c r="B108" s="7">
        <f>B107/$E$23</f>
        <v>1</v>
      </c>
      <c r="C108" s="7">
        <f>C107/$E$23</f>
        <v>0</v>
      </c>
      <c r="D108" s="7">
        <f>D107/$E$23</f>
        <v>0</v>
      </c>
      <c r="E108" s="116">
        <f>SUM(B108:D108)</f>
        <v>1</v>
      </c>
    </row>
    <row r="109" spans="1:7" x14ac:dyDescent="0.3">
      <c r="A109" s="30"/>
    </row>
    <row r="110" spans="1:7" x14ac:dyDescent="0.3">
      <c r="A110" s="30"/>
      <c r="B110" s="18" t="s">
        <v>1306</v>
      </c>
    </row>
    <row r="111" spans="1:7" ht="28" x14ac:dyDescent="0.3">
      <c r="B111" s="3"/>
      <c r="C111" s="11" t="s">
        <v>1307</v>
      </c>
      <c r="D111" s="11" t="s">
        <v>1308</v>
      </c>
      <c r="E111" s="11" t="s">
        <v>1309</v>
      </c>
      <c r="F111" s="11" t="s">
        <v>1225</v>
      </c>
      <c r="G111" s="114" t="s">
        <v>1206</v>
      </c>
    </row>
    <row r="112" spans="1:7" x14ac:dyDescent="0.3">
      <c r="B112" s="3" t="s">
        <v>1207</v>
      </c>
      <c r="C112" s="24">
        <f>COUNTIF('ZANGBA_Cleaned Data'!ACW:ACW,"peu_diminue")</f>
        <v>0</v>
      </c>
      <c r="D112" s="24">
        <f>COUNTIF('ZANGBA_Cleaned Data'!ACW:ACW,"bcp_diminue")</f>
        <v>0</v>
      </c>
      <c r="E112" s="24">
        <f>COUNTIF('ZANGBA_Cleaned Data'!ACW:ACW,"peu_augmente")</f>
        <v>3</v>
      </c>
      <c r="F112" s="24">
        <f>COUNTIF('ZANGBA_Cleaned Data'!ACW:ACW,"bcp_augmente")</f>
        <v>1</v>
      </c>
      <c r="G112" s="111">
        <f>SUM(C112:F112)</f>
        <v>4</v>
      </c>
    </row>
    <row r="113" spans="1:10" ht="49" x14ac:dyDescent="0.3">
      <c r="B113" s="53" t="s">
        <v>3281</v>
      </c>
      <c r="C113" s="7">
        <f>C112/$B$107</f>
        <v>0</v>
      </c>
      <c r="D113" s="7">
        <f t="shared" ref="D113:F113" si="10">D112/$B$107</f>
        <v>0</v>
      </c>
      <c r="E113" s="7">
        <f t="shared" si="10"/>
        <v>0.75</v>
      </c>
      <c r="F113" s="7">
        <f t="shared" si="10"/>
        <v>0.25</v>
      </c>
      <c r="G113" s="7">
        <f>SUM(C113:F113)</f>
        <v>1</v>
      </c>
    </row>
    <row r="115" spans="1:10" x14ac:dyDescent="0.3">
      <c r="B115" s="18" t="s">
        <v>1227</v>
      </c>
      <c r="D115" s="103" t="s">
        <v>3245</v>
      </c>
    </row>
    <row r="116" spans="1:10" ht="44" customHeight="1" x14ac:dyDescent="0.3">
      <c r="B116" s="3"/>
      <c r="C116" s="11" t="s">
        <v>1311</v>
      </c>
      <c r="D116" s="11" t="s">
        <v>1312</v>
      </c>
      <c r="E116" s="11" t="s">
        <v>1313</v>
      </c>
      <c r="F116" s="11" t="s">
        <v>1314</v>
      </c>
      <c r="G116" s="11" t="s">
        <v>1970</v>
      </c>
      <c r="H116" s="11" t="s">
        <v>1905</v>
      </c>
      <c r="I116" s="11" t="s">
        <v>1205</v>
      </c>
    </row>
    <row r="117" spans="1:10" x14ac:dyDescent="0.3">
      <c r="B117" s="3" t="s">
        <v>1207</v>
      </c>
      <c r="C117" s="24">
        <f>COUNTIF('ZANGBA_Cleaned Data'!ACY:ACY,"1")</f>
        <v>3</v>
      </c>
      <c r="D117" s="24">
        <f>COUNTIF('ZANGBA_Cleaned Data'!ACZ:ACZ,"1")</f>
        <v>3</v>
      </c>
      <c r="E117" s="24">
        <f>COUNTIF('ZANGBA_Cleaned Data'!ADA:ADA,"1")</f>
        <v>0</v>
      </c>
      <c r="F117" s="24">
        <f>COUNTIF('ZANGBA_Cleaned Data'!ADB:ADB,"1")</f>
        <v>0</v>
      </c>
      <c r="G117" s="24">
        <f>COUNTIF('ZANGBA_Cleaned Data'!ADE:ADE,"1")</f>
        <v>4</v>
      </c>
      <c r="H117" s="24">
        <f>COUNTIF('ZANGBA_Cleaned Data'!ADC:ADC,"1")</f>
        <v>0</v>
      </c>
      <c r="I117" s="24">
        <f>COUNTIF('ZANGBA_Cleaned Data'!ADD:ADD,"1")</f>
        <v>1</v>
      </c>
    </row>
    <row r="118" spans="1:10" ht="49" x14ac:dyDescent="0.3">
      <c r="B118" s="53" t="s">
        <v>3282</v>
      </c>
      <c r="C118" s="7">
        <f>C117/SUM(E112,F112)</f>
        <v>0.75</v>
      </c>
      <c r="D118" s="7">
        <f>D117/SUM(E112,F112)</f>
        <v>0.75</v>
      </c>
      <c r="E118" s="7">
        <f>E117/SUM(E112,F112)</f>
        <v>0</v>
      </c>
      <c r="F118" s="7">
        <f>F117/SUM(E112,F112)</f>
        <v>0</v>
      </c>
      <c r="G118" s="7">
        <f>G117/SUM(E112,F112)</f>
        <v>1</v>
      </c>
      <c r="H118" s="7">
        <f>H117/SUM(E112,F112)</f>
        <v>0</v>
      </c>
      <c r="I118" s="7">
        <f>I117/SUM(F112,G112)</f>
        <v>0.2</v>
      </c>
    </row>
    <row r="119" spans="1:10" x14ac:dyDescent="0.3">
      <c r="B119" s="50"/>
      <c r="I119" s="74" t="s">
        <v>3362</v>
      </c>
    </row>
    <row r="120" spans="1:10" x14ac:dyDescent="0.3">
      <c r="B120" s="18" t="s">
        <v>1310</v>
      </c>
      <c r="D120" s="103" t="s">
        <v>3245</v>
      </c>
    </row>
    <row r="121" spans="1:10" s="36" customFormat="1" ht="70" x14ac:dyDescent="0.35">
      <c r="B121" s="43"/>
      <c r="C121" s="11" t="s">
        <v>1315</v>
      </c>
      <c r="D121" s="11" t="s">
        <v>1316</v>
      </c>
      <c r="E121" s="11" t="s">
        <v>1971</v>
      </c>
      <c r="F121" s="11" t="s">
        <v>1317</v>
      </c>
      <c r="G121" s="11" t="s">
        <v>1318</v>
      </c>
      <c r="H121" s="11" t="s">
        <v>1972</v>
      </c>
      <c r="I121" s="11" t="s">
        <v>1905</v>
      </c>
      <c r="J121" s="11" t="s">
        <v>1205</v>
      </c>
    </row>
    <row r="122" spans="1:10" x14ac:dyDescent="0.3">
      <c r="B122" s="3" t="s">
        <v>1207</v>
      </c>
      <c r="C122" s="24">
        <f>COUNTIF('ZANGBA_Cleaned Data'!ADH:ADH,"1")</f>
        <v>0</v>
      </c>
      <c r="D122" s="24">
        <f>COUNTIF('ZANGBA_Cleaned Data'!ADI:ADI,"1")</f>
        <v>0</v>
      </c>
      <c r="E122" s="24">
        <f>COUNTIF('ZANGBA_Cleaned Data'!ADJ:ADJ,"1")</f>
        <v>0</v>
      </c>
      <c r="F122" s="24">
        <f>COUNTIF('ZANGBA_Cleaned Data'!ADK:ADK,"1")</f>
        <v>0</v>
      </c>
      <c r="G122" s="24">
        <f>COUNTIF('ZANGBA_Cleaned Data'!ADL:ADL,"1")</f>
        <v>0</v>
      </c>
      <c r="H122" s="24">
        <f>COUNTIF('ZANGBA_Cleaned Data'!ADO:ADO,"1")</f>
        <v>0</v>
      </c>
      <c r="I122" s="24">
        <f>COUNTIF('ZANGBA_Cleaned Data'!ADM:ADM,"1")</f>
        <v>0</v>
      </c>
      <c r="J122" s="24">
        <f>COUNTIF('ZANGBA_Cleaned Data'!ADN:ADN,"1")</f>
        <v>0</v>
      </c>
    </row>
    <row r="123" spans="1:10" ht="49" x14ac:dyDescent="0.3">
      <c r="B123" s="53" t="s">
        <v>3283</v>
      </c>
      <c r="C123" s="7" t="e">
        <f>C122/SUM(C112,D112)</f>
        <v>#DIV/0!</v>
      </c>
      <c r="D123" s="7" t="e">
        <f>D122/SUM(C112,D112)</f>
        <v>#DIV/0!</v>
      </c>
      <c r="E123" s="7" t="e">
        <f>E122/SUM(C112,D112)</f>
        <v>#DIV/0!</v>
      </c>
      <c r="F123" s="7" t="e">
        <f>F122/SUM(C112,D112)</f>
        <v>#DIV/0!</v>
      </c>
      <c r="G123" s="7" t="e">
        <f>G122/SUM(C112,D112)</f>
        <v>#DIV/0!</v>
      </c>
      <c r="H123" s="7" t="e">
        <f>H122/SUM(C112,D112)</f>
        <v>#DIV/0!</v>
      </c>
      <c r="I123" s="7" t="e">
        <f>I122/SUM(C112,D112)</f>
        <v>#DIV/0!</v>
      </c>
      <c r="J123" s="7" t="e">
        <f>J122/SUM(C112,D112)</f>
        <v>#DIV/0!</v>
      </c>
    </row>
    <row r="125" spans="1:10" x14ac:dyDescent="0.3">
      <c r="A125" s="18" t="s">
        <v>1323</v>
      </c>
    </row>
    <row r="126" spans="1:10" x14ac:dyDescent="0.3">
      <c r="A126" s="28">
        <f>AVERAGE('ZANGBA_Cleaned Data'!ADQ:ADQ)</f>
        <v>0.25</v>
      </c>
    </row>
    <row r="127" spans="1:10" x14ac:dyDescent="0.3">
      <c r="A127" s="28"/>
    </row>
    <row r="128" spans="1:10" x14ac:dyDescent="0.3">
      <c r="A128" s="18" t="s">
        <v>1319</v>
      </c>
    </row>
    <row r="129" spans="1:5" x14ac:dyDescent="0.3">
      <c r="A129" s="28">
        <f>AVERAGE('ZANGBA_Cleaned Data'!AEO:AEO)</f>
        <v>0</v>
      </c>
    </row>
    <row r="130" spans="1:5" x14ac:dyDescent="0.3">
      <c r="A130" s="27"/>
    </row>
    <row r="131" spans="1:5" x14ac:dyDescent="0.3">
      <c r="A131" s="18" t="s">
        <v>1320</v>
      </c>
    </row>
    <row r="132" spans="1:5" x14ac:dyDescent="0.3">
      <c r="A132" s="19">
        <f>AVERAGE('ZANGBA_Cleaned Data'!AFL:AFL)</f>
        <v>3.5</v>
      </c>
    </row>
    <row r="133" spans="1:5" x14ac:dyDescent="0.3">
      <c r="A133" s="19"/>
    </row>
    <row r="134" spans="1:5" x14ac:dyDescent="0.3">
      <c r="A134" s="31" t="s">
        <v>1321</v>
      </c>
    </row>
    <row r="135" spans="1:5" ht="42" x14ac:dyDescent="0.3">
      <c r="A135" s="3"/>
      <c r="B135" s="8" t="s">
        <v>1210</v>
      </c>
      <c r="C135" s="8" t="s">
        <v>1322</v>
      </c>
      <c r="D135" s="8" t="s">
        <v>1209</v>
      </c>
      <c r="E135" s="114" t="s">
        <v>1206</v>
      </c>
    </row>
    <row r="136" spans="1:5" x14ac:dyDescent="0.3">
      <c r="A136" s="3" t="s">
        <v>1207</v>
      </c>
      <c r="B136" s="24">
        <f>COUNTIF('ZANGBA_Cleaned Data'!AGH:AGH,"Oui")</f>
        <v>1</v>
      </c>
      <c r="C136" s="24">
        <f>COUNTIF('ZANGBA_Cleaned Data'!AGH:AGH,"oui_rc")</f>
        <v>0</v>
      </c>
      <c r="D136" s="24">
        <f>COUNTIF('ZANGBA_Cleaned Data'!AGH:AGH,"non_rc")</f>
        <v>3</v>
      </c>
      <c r="E136" s="111">
        <f>SUM(B136:D136)</f>
        <v>4</v>
      </c>
    </row>
    <row r="137" spans="1:5" ht="37.5" x14ac:dyDescent="0.3">
      <c r="A137" s="53" t="s">
        <v>1974</v>
      </c>
      <c r="B137" s="7">
        <f>B136/$E$23</f>
        <v>0.25</v>
      </c>
      <c r="C137" s="7">
        <f t="shared" ref="C137:D137" si="11">C136/$E$23</f>
        <v>0</v>
      </c>
      <c r="D137" s="7">
        <f t="shared" si="11"/>
        <v>0.75</v>
      </c>
      <c r="E137" s="7">
        <f>SUM(B137:D137)</f>
        <v>1</v>
      </c>
    </row>
    <row r="138" spans="1:5" x14ac:dyDescent="0.3">
      <c r="A138" s="19"/>
    </row>
    <row r="139" spans="1:5" x14ac:dyDescent="0.3">
      <c r="A139" s="31" t="s">
        <v>2961</v>
      </c>
    </row>
    <row r="140" spans="1:5" ht="42" x14ac:dyDescent="0.3">
      <c r="A140" s="3"/>
      <c r="B140" s="8" t="s">
        <v>1210</v>
      </c>
      <c r="C140" s="8" t="s">
        <v>1322</v>
      </c>
      <c r="D140" s="8" t="s">
        <v>1209</v>
      </c>
      <c r="E140" s="114" t="s">
        <v>1206</v>
      </c>
    </row>
    <row r="141" spans="1:5" x14ac:dyDescent="0.3">
      <c r="A141" s="3" t="s">
        <v>1207</v>
      </c>
      <c r="B141" s="24">
        <f>COUNTIF('ZANGBA_Cleaned Data'!AGI:AGI,"Oui")</f>
        <v>1</v>
      </c>
      <c r="C141" s="24">
        <f>COUNTIF('ZANGBA_Cleaned Data'!AGI:AGI,"oui_rc")</f>
        <v>3</v>
      </c>
      <c r="D141" s="24">
        <f>COUNTIF('ZANGBA_Cleaned Data'!AGI:AGI,"non_rc")</f>
        <v>0</v>
      </c>
      <c r="E141" s="111">
        <f>SUM(B141:D141)</f>
        <v>4</v>
      </c>
    </row>
    <row r="142" spans="1:5" ht="37.5" x14ac:dyDescent="0.3">
      <c r="A142" s="53" t="s">
        <v>3284</v>
      </c>
      <c r="B142" s="7">
        <f>B141/$E$23</f>
        <v>0.25</v>
      </c>
      <c r="C142" s="7">
        <f t="shared" ref="C142:D142" si="12">C141/$E$23</f>
        <v>0.75</v>
      </c>
      <c r="D142" s="7">
        <f t="shared" si="12"/>
        <v>0</v>
      </c>
      <c r="E142" s="7">
        <f>SUM(B142:D142)</f>
        <v>1</v>
      </c>
    </row>
    <row r="143" spans="1:5" x14ac:dyDescent="0.3">
      <c r="A143" s="19"/>
    </row>
    <row r="145" spans="1:8" ht="15.5" x14ac:dyDescent="0.35">
      <c r="A145" s="9" t="s">
        <v>1293</v>
      </c>
    </row>
    <row r="146" spans="1:8" x14ac:dyDescent="0.3">
      <c r="A146" s="18" t="s">
        <v>1962</v>
      </c>
    </row>
    <row r="147" spans="1:8" x14ac:dyDescent="0.3">
      <c r="A147" s="3"/>
      <c r="B147" s="8" t="s">
        <v>1210</v>
      </c>
      <c r="C147" s="8" t="s">
        <v>1209</v>
      </c>
      <c r="D147" s="8" t="s">
        <v>2313</v>
      </c>
      <c r="E147" s="114" t="s">
        <v>1206</v>
      </c>
    </row>
    <row r="148" spans="1:8" x14ac:dyDescent="0.3">
      <c r="A148" s="3" t="s">
        <v>1207</v>
      </c>
      <c r="B148" s="24">
        <f>COUNTIF('ZANGBA_Cleaned Data'!ACM:ACM,"Oui")</f>
        <v>0</v>
      </c>
      <c r="C148" s="24">
        <f>COUNTIF('ZANGBA_Cleaned Data'!ACM:ACM,"non")</f>
        <v>3</v>
      </c>
      <c r="D148" s="24">
        <f>COUNTIF('ZANGBA_Cleaned Data'!ACM:ACM,"difficilement")</f>
        <v>1</v>
      </c>
      <c r="E148" s="111">
        <f>SUM(B148:D148)</f>
        <v>4</v>
      </c>
    </row>
    <row r="149" spans="1:8" s="36" customFormat="1" ht="39" customHeight="1" x14ac:dyDescent="0.3">
      <c r="A149" s="53" t="s">
        <v>3284</v>
      </c>
      <c r="B149" s="55">
        <f>B148/$E$23</f>
        <v>0</v>
      </c>
      <c r="C149" s="55">
        <f>C148/$E$23</f>
        <v>0.75</v>
      </c>
      <c r="D149" s="55">
        <f>D148/$E$23</f>
        <v>0.25</v>
      </c>
      <c r="E149" s="7">
        <f>SUM(B149:D149)</f>
        <v>1</v>
      </c>
    </row>
    <row r="150" spans="1:8" ht="15.5" x14ac:dyDescent="0.35">
      <c r="A150" s="9"/>
    </row>
    <row r="151" spans="1:8" x14ac:dyDescent="0.3">
      <c r="A151" s="18" t="s">
        <v>1324</v>
      </c>
    </row>
    <row r="152" spans="1:8" x14ac:dyDescent="0.3">
      <c r="A152" s="3"/>
      <c r="B152" s="8" t="s">
        <v>1210</v>
      </c>
      <c r="C152" s="8" t="s">
        <v>1209</v>
      </c>
      <c r="D152" s="114" t="s">
        <v>1206</v>
      </c>
    </row>
    <row r="153" spans="1:8" x14ac:dyDescent="0.3">
      <c r="A153" s="3" t="s">
        <v>1207</v>
      </c>
      <c r="B153" s="24">
        <f>COUNTIF('ZANGBA_Cleaned Data'!AGJ:AGJ,"Oui")</f>
        <v>3</v>
      </c>
      <c r="C153" s="24">
        <f>COUNTIF('ZANGBA_Cleaned Data'!AGJ:AGJ,"non")</f>
        <v>1</v>
      </c>
      <c r="D153" s="111">
        <f>SUM(B153:C153)</f>
        <v>4</v>
      </c>
    </row>
    <row r="154" spans="1:8" s="36" customFormat="1" ht="37.5" x14ac:dyDescent="0.3">
      <c r="A154" s="53" t="s">
        <v>3284</v>
      </c>
      <c r="B154" s="55">
        <f>B153/$E$23</f>
        <v>0.75</v>
      </c>
      <c r="C154" s="55">
        <f>C153/$E$23</f>
        <v>0.25</v>
      </c>
      <c r="D154" s="7">
        <f>SUM(B154:C154)</f>
        <v>1</v>
      </c>
    </row>
    <row r="155" spans="1:8" x14ac:dyDescent="0.3">
      <c r="A155" s="14"/>
      <c r="B155" s="15"/>
      <c r="C155" s="15"/>
    </row>
    <row r="156" spans="1:8" x14ac:dyDescent="0.3">
      <c r="A156" s="34" t="s">
        <v>2838</v>
      </c>
      <c r="B156" s="15"/>
      <c r="C156" s="15"/>
      <c r="E156" s="18" t="s">
        <v>1977</v>
      </c>
    </row>
    <row r="157" spans="1:8" x14ac:dyDescent="0.3">
      <c r="A157" s="32">
        <f>AVERAGE('ZANGBA_Cleaned Data'!AGK:AGK)</f>
        <v>200</v>
      </c>
      <c r="B157" s="33" t="s">
        <v>1325</v>
      </c>
      <c r="C157" s="87"/>
      <c r="E157" s="3"/>
      <c r="F157" s="11" t="s">
        <v>1210</v>
      </c>
      <c r="G157" s="11" t="s">
        <v>1209</v>
      </c>
      <c r="H157" s="114" t="s">
        <v>1206</v>
      </c>
    </row>
    <row r="158" spans="1:8" x14ac:dyDescent="0.3">
      <c r="A158" s="32"/>
      <c r="B158" s="33"/>
      <c r="C158" s="15"/>
      <c r="E158" s="3" t="s">
        <v>1207</v>
      </c>
      <c r="F158" s="24">
        <f>COUNTIF('ZANGBA_Cleaned Data'!AGT:AGT,"Oui")</f>
        <v>0</v>
      </c>
      <c r="G158" s="24">
        <f>COUNTIF('ZANGBA_Cleaned Data'!AGT:AGT,"non")</f>
        <v>3</v>
      </c>
      <c r="H158" s="111">
        <f>SUM(F158:G158)</f>
        <v>3</v>
      </c>
    </row>
    <row r="159" spans="1:8" ht="26" x14ac:dyDescent="0.3">
      <c r="A159" s="34" t="s">
        <v>2839</v>
      </c>
      <c r="B159" s="33"/>
      <c r="C159" s="15"/>
      <c r="E159" s="53" t="s">
        <v>3285</v>
      </c>
      <c r="F159" s="7">
        <f>F158/$B$153</f>
        <v>0</v>
      </c>
      <c r="G159" s="7">
        <f>G158/$B$153</f>
        <v>1</v>
      </c>
      <c r="H159" s="7">
        <f>SUM(F159:G159)</f>
        <v>1</v>
      </c>
    </row>
    <row r="160" spans="1:8" x14ac:dyDescent="0.3">
      <c r="A160" s="131" t="s">
        <v>3340</v>
      </c>
      <c r="B160" s="33"/>
      <c r="C160" s="15"/>
    </row>
    <row r="161" spans="1:10" x14ac:dyDescent="0.3">
      <c r="A161" s="32"/>
      <c r="B161" s="33"/>
      <c r="C161" s="15"/>
    </row>
    <row r="162" spans="1:10" x14ac:dyDescent="0.3">
      <c r="A162" s="17" t="s">
        <v>1326</v>
      </c>
      <c r="B162" s="33"/>
      <c r="C162" s="103" t="s">
        <v>3245</v>
      </c>
    </row>
    <row r="163" spans="1:10" s="36" customFormat="1" ht="59.5" customHeight="1" x14ac:dyDescent="0.35">
      <c r="A163" s="8" t="s">
        <v>1327</v>
      </c>
      <c r="B163" s="8" t="s">
        <v>1328</v>
      </c>
      <c r="C163" s="8" t="s">
        <v>1329</v>
      </c>
      <c r="D163" s="8" t="s">
        <v>1330</v>
      </c>
      <c r="E163" s="8" t="s">
        <v>1905</v>
      </c>
      <c r="F163" s="8" t="s">
        <v>1205</v>
      </c>
    </row>
    <row r="164" spans="1:10" x14ac:dyDescent="0.3">
      <c r="A164" s="3">
        <f>COUNTIF('ZANGBA_Cleaned Data'!AGM:AGM,"1")</f>
        <v>2</v>
      </c>
      <c r="B164" s="3">
        <f>COUNTIF('ZANGBA_Cleaned Data'!AGN:AGN,"1")</f>
        <v>2</v>
      </c>
      <c r="C164" s="3">
        <f>COUNTIF('ZANGBA_Cleaned Data'!AGO:AGO,"1")</f>
        <v>0</v>
      </c>
      <c r="D164" s="3">
        <f>COUNTIF('ZANGBA_Cleaned Data'!AGP:AGP,"1")</f>
        <v>0</v>
      </c>
      <c r="E164" s="3">
        <f>COUNTIF('ZANGBA_Cleaned Data'!AGQ:AGQ,"1")</f>
        <v>0</v>
      </c>
      <c r="F164" s="3">
        <f>COUNTIF('ZANGBA_Cleaned Data'!AGR:AGR,"1")</f>
        <v>0</v>
      </c>
    </row>
    <row r="165" spans="1:10" x14ac:dyDescent="0.3">
      <c r="A165" s="14"/>
      <c r="B165" s="14"/>
      <c r="C165" s="14"/>
      <c r="D165" s="14"/>
      <c r="E165" s="14"/>
      <c r="F165" s="14"/>
    </row>
    <row r="166" spans="1:10" x14ac:dyDescent="0.3">
      <c r="A166" s="18" t="s">
        <v>1331</v>
      </c>
      <c r="C166" s="103" t="s">
        <v>3245</v>
      </c>
    </row>
    <row r="167" spans="1:10" x14ac:dyDescent="0.3">
      <c r="A167" s="3"/>
      <c r="B167" s="8" t="s">
        <v>1250</v>
      </c>
      <c r="C167" s="8" t="s">
        <v>1251</v>
      </c>
      <c r="D167" s="35" t="s">
        <v>1905</v>
      </c>
      <c r="E167" s="8" t="s">
        <v>1205</v>
      </c>
      <c r="F167" s="8" t="s">
        <v>1252</v>
      </c>
    </row>
    <row r="168" spans="1:10" x14ac:dyDescent="0.3">
      <c r="A168" s="3" t="s">
        <v>1207</v>
      </c>
      <c r="B168" s="3">
        <f>COUNTIF('ZANGBA_Cleaned Data'!AHR:AHR,"1")</f>
        <v>2</v>
      </c>
      <c r="C168" s="3">
        <f>COUNTIF('ZANGBA_Cleaned Data'!AHS:AHS,"1")</f>
        <v>1</v>
      </c>
      <c r="D168" s="3">
        <f>COUNTIF('ZANGBA_Cleaned Data'!AHT:AHT,"1")</f>
        <v>0</v>
      </c>
      <c r="E168" s="3">
        <f>COUNTIF('ZANGBA_Cleaned Data'!AHU:AHU,"1")</f>
        <v>0</v>
      </c>
      <c r="F168" s="3">
        <f>COUNTIF('ZANGBA_Cleaned Data'!AHV:AHV,"1")</f>
        <v>2</v>
      </c>
    </row>
    <row r="169" spans="1:10" s="36" customFormat="1" ht="37" x14ac:dyDescent="0.25">
      <c r="A169" s="53" t="s">
        <v>3284</v>
      </c>
      <c r="B169" s="55">
        <f>B168/$E$23</f>
        <v>0.5</v>
      </c>
      <c r="C169" s="55">
        <f t="shared" ref="C169:F169" si="13">C168/$E$23</f>
        <v>0.25</v>
      </c>
      <c r="D169" s="55">
        <f t="shared" si="13"/>
        <v>0</v>
      </c>
      <c r="E169" s="55">
        <f t="shared" si="13"/>
        <v>0</v>
      </c>
      <c r="F169" s="55">
        <f t="shared" si="13"/>
        <v>0.5</v>
      </c>
    </row>
    <row r="171" spans="1:10" ht="15.5" x14ac:dyDescent="0.35">
      <c r="A171" s="29" t="s">
        <v>1299</v>
      </c>
      <c r="C171" s="103" t="s">
        <v>3245</v>
      </c>
    </row>
    <row r="172" spans="1:10" ht="70" x14ac:dyDescent="0.3">
      <c r="A172" s="8" t="s">
        <v>1475</v>
      </c>
      <c r="B172" s="8" t="s">
        <v>1332</v>
      </c>
      <c r="C172" s="8" t="s">
        <v>1333</v>
      </c>
      <c r="D172" s="8" t="s">
        <v>1978</v>
      </c>
      <c r="E172" s="8" t="s">
        <v>1979</v>
      </c>
      <c r="F172" s="8" t="s">
        <v>1980</v>
      </c>
      <c r="G172" s="8" t="s">
        <v>1981</v>
      </c>
      <c r="H172" s="8" t="s">
        <v>1764</v>
      </c>
      <c r="I172" s="8" t="s">
        <v>1905</v>
      </c>
      <c r="J172" s="8" t="s">
        <v>1205</v>
      </c>
    </row>
    <row r="173" spans="1:10" x14ac:dyDescent="0.3">
      <c r="A173" s="3">
        <f>COUNTIF('ZANGBA_Cleaned Data'!AHY:AHY,"1")</f>
        <v>2</v>
      </c>
      <c r="B173" s="3">
        <f>COUNTIF('ZANGBA_Cleaned Data'!AHZ:AHZ,"1")</f>
        <v>4</v>
      </c>
      <c r="C173" s="3">
        <f>COUNTIF('ZANGBA_Cleaned Data'!AIA:AIA,"1")</f>
        <v>4</v>
      </c>
      <c r="D173" s="3">
        <f>COUNTIF('ZANGBA_Cleaned Data'!AIB:AIB,"1")</f>
        <v>4</v>
      </c>
      <c r="E173" s="3">
        <f>COUNTIF('ZANGBA_Cleaned Data'!AIC:AIC,"1")</f>
        <v>0</v>
      </c>
      <c r="F173" s="3">
        <f>COUNTIF('ZANGBA_Cleaned Data'!AID:AID,"1")</f>
        <v>0</v>
      </c>
      <c r="G173" s="3">
        <f>COUNTIF('ZANGBA_Cleaned Data'!AIE:AIE,"1")</f>
        <v>0</v>
      </c>
      <c r="H173" s="3">
        <f>COUNTIF('ZANGBA_Cleaned Data'!AIG:AIG,"1")</f>
        <v>0</v>
      </c>
      <c r="I173" s="3">
        <f>COUNTIF('ZANGBA_Cleaned Data'!AIH:AIH,"1")</f>
        <v>0</v>
      </c>
      <c r="J173" s="3">
        <f>COUNTIF('ZANGBA_Cleaned Data'!AII:AII,"1")</f>
        <v>1</v>
      </c>
    </row>
    <row r="174" spans="1:10" x14ac:dyDescent="0.3">
      <c r="J174" s="74" t="s">
        <v>3363</v>
      </c>
    </row>
    <row r="175" spans="1:10" x14ac:dyDescent="0.3">
      <c r="J175" s="74"/>
    </row>
    <row r="176" spans="1:10" ht="15.5" x14ac:dyDescent="0.35">
      <c r="A176" s="29" t="s">
        <v>1300</v>
      </c>
      <c r="D176" s="103" t="s">
        <v>3245</v>
      </c>
    </row>
    <row r="177" spans="1:16" ht="42" x14ac:dyDescent="0.3">
      <c r="A177" s="8" t="s">
        <v>1912</v>
      </c>
      <c r="B177" s="8" t="s">
        <v>1982</v>
      </c>
      <c r="C177" s="8" t="s">
        <v>1913</v>
      </c>
      <c r="D177" s="8" t="s">
        <v>1914</v>
      </c>
      <c r="E177" s="8" t="s">
        <v>1915</v>
      </c>
      <c r="F177" s="8" t="s">
        <v>1916</v>
      </c>
      <c r="G177" s="8" t="s">
        <v>1917</v>
      </c>
      <c r="H177" s="8" t="s">
        <v>1918</v>
      </c>
      <c r="I177" s="8" t="s">
        <v>1919</v>
      </c>
      <c r="J177" s="8" t="s">
        <v>1920</v>
      </c>
      <c r="K177" s="8" t="s">
        <v>1252</v>
      </c>
      <c r="L177" s="8" t="s">
        <v>1905</v>
      </c>
      <c r="M177" s="8" t="s">
        <v>1205</v>
      </c>
    </row>
    <row r="178" spans="1:16" x14ac:dyDescent="0.3">
      <c r="A178" s="24">
        <f>COUNTIF('ZANGBA_Cleaned Data'!AIL:AIL,"1")</f>
        <v>1</v>
      </c>
      <c r="B178" s="24">
        <f>COUNTIF('ZANGBA_Cleaned Data'!AIM:AIM,"1")</f>
        <v>2</v>
      </c>
      <c r="C178" s="24">
        <f>COUNTIF('ZANGBA_Cleaned Data'!AIN:AIN,"1")</f>
        <v>0</v>
      </c>
      <c r="D178" s="24">
        <f>COUNTIF('ZANGBA_Cleaned Data'!AIO:AIO,"1")</f>
        <v>0</v>
      </c>
      <c r="E178" s="24">
        <f>COUNTIF('ZANGBA_Cleaned Data'!AIP:AIP,"1")</f>
        <v>0</v>
      </c>
      <c r="F178" s="24">
        <f>COUNTIF('ZANGBA_Cleaned Data'!AIQ:AIQ,"1")</f>
        <v>0</v>
      </c>
      <c r="G178" s="24">
        <f>COUNTIF('ZANGBA_Cleaned Data'!AIR:AIR,"1")</f>
        <v>0</v>
      </c>
      <c r="H178" s="24">
        <f>COUNTIF('ZANGBA_Cleaned Data'!AIS:AIS,"1")</f>
        <v>0</v>
      </c>
      <c r="I178" s="24">
        <f>COUNTIF('ZANGBA_Cleaned Data'!AIT:AIT,"1")</f>
        <v>0</v>
      </c>
      <c r="J178" s="24">
        <f>COUNTIF('ZANGBA_Cleaned Data'!AIX:AIX,"1")</f>
        <v>2</v>
      </c>
      <c r="K178" s="24">
        <f>COUNTIF('ZANGBA_Cleaned Data'!AIU:AIU,"1")</f>
        <v>1</v>
      </c>
      <c r="L178" s="24">
        <f>COUNTIF('ZANGBA_Cleaned Data'!AIV:AIV,"1")</f>
        <v>0</v>
      </c>
      <c r="M178" s="24">
        <f>COUNTIF('ZANGBA_Cleaned Data'!AIW:AIW,"1")</f>
        <v>0</v>
      </c>
    </row>
    <row r="180" spans="1:16" ht="15.5" x14ac:dyDescent="0.35">
      <c r="A180" s="29" t="s">
        <v>1334</v>
      </c>
    </row>
    <row r="181" spans="1:16" x14ac:dyDescent="0.3">
      <c r="A181" s="3"/>
      <c r="B181" s="8" t="s">
        <v>1210</v>
      </c>
      <c r="C181" s="8" t="s">
        <v>1209</v>
      </c>
      <c r="D181" s="114" t="s">
        <v>1206</v>
      </c>
    </row>
    <row r="182" spans="1:16" x14ac:dyDescent="0.3">
      <c r="A182" s="3" t="s">
        <v>1207</v>
      </c>
      <c r="B182" s="24">
        <f>COUNTIF('ZANGBA_Cleaned Data'!AIZ:AIZ,"OUI")</f>
        <v>2</v>
      </c>
      <c r="C182" s="24">
        <f>COUNTIF('ZANGBA_Cleaned Data'!AIZ:AIZ,"non")</f>
        <v>2</v>
      </c>
      <c r="D182" s="111">
        <f>SUM(B182:C182)</f>
        <v>4</v>
      </c>
    </row>
    <row r="183" spans="1:16" ht="26" x14ac:dyDescent="0.3">
      <c r="A183" s="53" t="s">
        <v>3273</v>
      </c>
      <c r="B183" s="7">
        <f>(B182/$B$3)</f>
        <v>0.5</v>
      </c>
      <c r="C183" s="7">
        <f>(C182/$B$3)</f>
        <v>0.5</v>
      </c>
      <c r="D183" s="7">
        <f>SUM(B183:C183)</f>
        <v>1</v>
      </c>
    </row>
    <row r="185" spans="1:16" x14ac:dyDescent="0.3">
      <c r="B185" s="18" t="s">
        <v>1262</v>
      </c>
      <c r="D185" s="103" t="s">
        <v>3245</v>
      </c>
    </row>
    <row r="186" spans="1:16" ht="14.5" x14ac:dyDescent="0.35">
      <c r="B186" s="3"/>
      <c r="C186" s="11" t="s">
        <v>1263</v>
      </c>
      <c r="D186" s="11" t="s">
        <v>1264</v>
      </c>
      <c r="E186" s="11" t="s">
        <v>1256</v>
      </c>
      <c r="F186" s="11" t="s">
        <v>1257</v>
      </c>
      <c r="G186" s="11" t="s">
        <v>1240</v>
      </c>
      <c r="H186" s="11" t="s">
        <v>1905</v>
      </c>
      <c r="I186" s="11" t="s">
        <v>1205</v>
      </c>
      <c r="J186" s="23"/>
      <c r="K186" s="23"/>
    </row>
    <row r="187" spans="1:16" x14ac:dyDescent="0.3">
      <c r="B187" s="3" t="s">
        <v>1207</v>
      </c>
      <c r="C187" s="24">
        <f>COUNTIF('ZANGBA_Cleaned Data'!AJB:AJB,"1")</f>
        <v>0</v>
      </c>
      <c r="D187" s="24">
        <f>COUNTIF('ZANGBA_Cleaned Data'!AJC:AJC,"1")</f>
        <v>0</v>
      </c>
      <c r="E187" s="24">
        <f>COUNTIF('ZANGBA_Cleaned Data'!AJD:AJD,"1")</f>
        <v>0</v>
      </c>
      <c r="F187" s="24">
        <f>COUNTIF('ZANGBA_Cleaned Data'!AJE:AJE,"1")</f>
        <v>0</v>
      </c>
      <c r="G187" s="24">
        <f>COUNTIF('ZANGBA_Cleaned Data'!AJF:AJF,"1")</f>
        <v>2</v>
      </c>
      <c r="H187" s="24">
        <f>COUNTIF('ZANGBA_Cleaned Data'!AJG:AJG,"1")</f>
        <v>0</v>
      </c>
      <c r="I187" s="24">
        <f>COUNTIF('ZANGBA_Cleaned Data'!AJH:AJH,"1")</f>
        <v>0</v>
      </c>
    </row>
    <row r="188" spans="1:16" ht="37.5" x14ac:dyDescent="0.3">
      <c r="B188" s="53" t="s">
        <v>3286</v>
      </c>
      <c r="C188" s="7">
        <f>C187/$B$182</f>
        <v>0</v>
      </c>
      <c r="D188" s="7">
        <f t="shared" ref="D188:I188" si="14">D187/$B$182</f>
        <v>0</v>
      </c>
      <c r="E188" s="7">
        <f t="shared" si="14"/>
        <v>0</v>
      </c>
      <c r="F188" s="7">
        <f t="shared" si="14"/>
        <v>0</v>
      </c>
      <c r="G188" s="7">
        <f t="shared" si="14"/>
        <v>1</v>
      </c>
      <c r="H188" s="7">
        <f t="shared" si="14"/>
        <v>0</v>
      </c>
      <c r="I188" s="7">
        <f t="shared" si="14"/>
        <v>0</v>
      </c>
    </row>
    <row r="190" spans="1:16" x14ac:dyDescent="0.3">
      <c r="B190" s="18" t="s">
        <v>1265</v>
      </c>
      <c r="D190" s="103" t="s">
        <v>3245</v>
      </c>
    </row>
    <row r="191" spans="1:16" ht="70" x14ac:dyDescent="0.35">
      <c r="B191" s="3"/>
      <c r="C191" s="11" t="s">
        <v>1534</v>
      </c>
      <c r="D191" s="11" t="s">
        <v>1535</v>
      </c>
      <c r="E191" s="11" t="s">
        <v>1985</v>
      </c>
      <c r="F191" s="11" t="s">
        <v>1536</v>
      </c>
      <c r="G191" s="11" t="s">
        <v>1986</v>
      </c>
      <c r="H191" s="11" t="s">
        <v>1987</v>
      </c>
      <c r="I191" s="11" t="s">
        <v>1988</v>
      </c>
      <c r="J191" s="11" t="s">
        <v>1526</v>
      </c>
      <c r="K191" s="11" t="s">
        <v>1527</v>
      </c>
      <c r="L191" s="11" t="s">
        <v>1525</v>
      </c>
      <c r="M191" s="11" t="s">
        <v>1905</v>
      </c>
      <c r="N191" s="11" t="s">
        <v>1205</v>
      </c>
      <c r="P191" s="23"/>
    </row>
    <row r="192" spans="1:16" x14ac:dyDescent="0.3">
      <c r="B192" s="3" t="s">
        <v>1207</v>
      </c>
      <c r="C192" s="24">
        <f>COUNTIF('ZANGBA_Cleaned Data'!AJK:AJK,"1")</f>
        <v>1</v>
      </c>
      <c r="D192" s="24">
        <f>COUNTIF('ZANGBA_Cleaned Data'!AJL:AJL,"1")</f>
        <v>0</v>
      </c>
      <c r="E192" s="24">
        <f>COUNTIF('ZANGBA_Cleaned Data'!AJM:AJM,"1")</f>
        <v>0</v>
      </c>
      <c r="F192" s="24">
        <f>COUNTIF('ZANGBA_Cleaned Data'!AJN:AJN,"1")</f>
        <v>0</v>
      </c>
      <c r="G192" s="24">
        <f>COUNTIF('ZANGBA_Cleaned Data'!AJO:AJO,"1")</f>
        <v>0</v>
      </c>
      <c r="H192" s="24">
        <f>COUNTIF('ZANGBA_Cleaned Data'!AJP:AJP,"1")</f>
        <v>0</v>
      </c>
      <c r="I192" s="24">
        <f>COUNTIF('ZANGBA_Cleaned Data'!AJQ:AJQ,"1")</f>
        <v>1</v>
      </c>
      <c r="J192" s="24">
        <f>COUNTIF('ZANGBA_Cleaned Data'!AJR:AJR,"1")</f>
        <v>1</v>
      </c>
      <c r="K192" s="24">
        <f>COUNTIF('ZANGBA_Cleaned Data'!AJS:AJS,"1")</f>
        <v>0</v>
      </c>
      <c r="L192" s="24">
        <f>COUNTIF('ZANGBA_Cleaned Data'!AJT:AJT,"1")</f>
        <v>0</v>
      </c>
      <c r="M192" s="24">
        <f>COUNTIF('ZANGBA_Cleaned Data'!AJU:AJU,"1")</f>
        <v>0</v>
      </c>
      <c r="N192" s="24">
        <f>COUNTIF('ZANGBA_Cleaned Data'!AJV:AJV,"1")</f>
        <v>1</v>
      </c>
    </row>
    <row r="193" spans="1:14" ht="37.5" x14ac:dyDescent="0.3">
      <c r="B193" s="53" t="s">
        <v>3286</v>
      </c>
      <c r="C193" s="7">
        <f>C192/$B$182</f>
        <v>0.5</v>
      </c>
      <c r="D193" s="7">
        <f t="shared" ref="D193:N193" si="15">D192/$B$182</f>
        <v>0</v>
      </c>
      <c r="E193" s="7">
        <f t="shared" si="15"/>
        <v>0</v>
      </c>
      <c r="F193" s="7">
        <f t="shared" si="15"/>
        <v>0</v>
      </c>
      <c r="G193" s="7">
        <f t="shared" si="15"/>
        <v>0</v>
      </c>
      <c r="H193" s="7">
        <f t="shared" si="15"/>
        <v>0</v>
      </c>
      <c r="I193" s="7">
        <f t="shared" si="15"/>
        <v>0.5</v>
      </c>
      <c r="J193" s="7">
        <f t="shared" si="15"/>
        <v>0.5</v>
      </c>
      <c r="K193" s="7">
        <f t="shared" si="15"/>
        <v>0</v>
      </c>
      <c r="L193" s="7">
        <f t="shared" si="15"/>
        <v>0</v>
      </c>
      <c r="M193" s="7">
        <f t="shared" si="15"/>
        <v>0</v>
      </c>
      <c r="N193" s="7">
        <f t="shared" si="15"/>
        <v>0.5</v>
      </c>
    </row>
    <row r="194" spans="1:14" x14ac:dyDescent="0.3">
      <c r="B194" s="50"/>
      <c r="N194" s="74" t="s">
        <v>3364</v>
      </c>
    </row>
    <row r="195" spans="1:14" x14ac:dyDescent="0.3">
      <c r="B195" s="18" t="s">
        <v>1407</v>
      </c>
    </row>
    <row r="196" spans="1:14" x14ac:dyDescent="0.3">
      <c r="B196" s="3"/>
      <c r="C196" s="11" t="s">
        <v>1210</v>
      </c>
      <c r="D196" s="11" t="s">
        <v>1209</v>
      </c>
      <c r="E196" s="114" t="s">
        <v>1206</v>
      </c>
    </row>
    <row r="197" spans="1:14" x14ac:dyDescent="0.3">
      <c r="B197" s="3" t="s">
        <v>1207</v>
      </c>
      <c r="C197" s="24">
        <f>COUNTIF('ZANGBA_Cleaned Data'!AJX:AJX,"OUI")</f>
        <v>0</v>
      </c>
      <c r="D197" s="24">
        <f>COUNTIF('ZANGBA_Cleaned Data'!AJX:AJX,"non")</f>
        <v>2</v>
      </c>
      <c r="E197" s="111">
        <f>SUM(C197:D197)</f>
        <v>2</v>
      </c>
    </row>
    <row r="198" spans="1:14" ht="37.5" x14ac:dyDescent="0.3">
      <c r="B198" s="53" t="s">
        <v>3286</v>
      </c>
      <c r="C198" s="7">
        <f>(C197/$B$182)</f>
        <v>0</v>
      </c>
      <c r="D198" s="7">
        <f>(D197/$B$182)</f>
        <v>1</v>
      </c>
      <c r="E198" s="7">
        <f>SUM(C198:D198)</f>
        <v>1</v>
      </c>
    </row>
    <row r="200" spans="1:14" x14ac:dyDescent="0.3">
      <c r="C200" s="18" t="s">
        <v>1270</v>
      </c>
      <c r="E200" s="103" t="s">
        <v>3245</v>
      </c>
    </row>
    <row r="201" spans="1:14" x14ac:dyDescent="0.3">
      <c r="C201" s="3"/>
      <c r="D201" s="11" t="s">
        <v>1271</v>
      </c>
      <c r="E201" s="11" t="s">
        <v>1272</v>
      </c>
      <c r="F201" s="11" t="s">
        <v>1273</v>
      </c>
      <c r="G201" s="11" t="s">
        <v>1274</v>
      </c>
      <c r="H201" s="11" t="s">
        <v>1205</v>
      </c>
    </row>
    <row r="202" spans="1:14" x14ac:dyDescent="0.3">
      <c r="C202" s="3" t="s">
        <v>1207</v>
      </c>
      <c r="D202" s="4">
        <f>COUNTIF('ZANGBA_Cleaned Data'!AJZ:AJZ,"1")</f>
        <v>1</v>
      </c>
      <c r="E202" s="4">
        <f>COUNTIF('ZANGBA_Cleaned Data'!AKA:AKA,"1")</f>
        <v>0</v>
      </c>
      <c r="F202" s="4">
        <f>COUNTIF('ZANGBA_Cleaned Data'!AKB:AKB,"1")</f>
        <v>1</v>
      </c>
      <c r="G202" s="4">
        <f>COUNTIF('ZANGBA_Cleaned Data'!AKC:AKC,"1")</f>
        <v>0</v>
      </c>
      <c r="H202" s="4">
        <f>COUNTIF('ZANGBA_Cleaned Data'!AKD:AKD,"1")</f>
        <v>0</v>
      </c>
    </row>
    <row r="203" spans="1:14" ht="49" x14ac:dyDescent="0.3">
      <c r="C203" s="53" t="s">
        <v>3287</v>
      </c>
      <c r="D203" s="7">
        <f>D202/$D$197</f>
        <v>0.5</v>
      </c>
      <c r="E203" s="7">
        <f t="shared" ref="E203:H203" si="16">E202/$D$197</f>
        <v>0</v>
      </c>
      <c r="F203" s="7">
        <f t="shared" si="16"/>
        <v>0.5</v>
      </c>
      <c r="G203" s="7">
        <f t="shared" si="16"/>
        <v>0</v>
      </c>
      <c r="H203" s="7">
        <f t="shared" si="16"/>
        <v>0</v>
      </c>
    </row>
    <row r="205" spans="1:14" ht="15.5" x14ac:dyDescent="0.35">
      <c r="A205" s="9" t="s">
        <v>1301</v>
      </c>
      <c r="C205" s="103" t="s">
        <v>3245</v>
      </c>
    </row>
    <row r="207" spans="1:14" ht="70" x14ac:dyDescent="0.3">
      <c r="A207" s="8" t="s">
        <v>1534</v>
      </c>
      <c r="B207" s="8" t="s">
        <v>1535</v>
      </c>
      <c r="C207" s="8" t="s">
        <v>1985</v>
      </c>
      <c r="D207" s="8" t="s">
        <v>1536</v>
      </c>
      <c r="E207" s="8" t="s">
        <v>1986</v>
      </c>
      <c r="F207" s="8" t="s">
        <v>1987</v>
      </c>
      <c r="G207" s="8" t="s">
        <v>1988</v>
      </c>
      <c r="H207" s="8" t="s">
        <v>1526</v>
      </c>
      <c r="I207" s="8" t="s">
        <v>1527</v>
      </c>
      <c r="J207" s="8" t="s">
        <v>1525</v>
      </c>
      <c r="K207" s="8" t="s">
        <v>1905</v>
      </c>
      <c r="L207" s="8" t="s">
        <v>1205</v>
      </c>
    </row>
    <row r="208" spans="1:14" x14ac:dyDescent="0.3">
      <c r="A208" s="24">
        <f>COUNTIF('ZANGBA_Cleaned Data'!AKG:AKG,"1")</f>
        <v>1</v>
      </c>
      <c r="B208" s="24">
        <f>COUNTIF('ZANGBA_Cleaned Data'!AKH:AKH,"1")</f>
        <v>1</v>
      </c>
      <c r="C208" s="24">
        <f>COUNTIF('ZANGBA_Cleaned Data'!AKI:AKI,"1")</f>
        <v>4</v>
      </c>
      <c r="D208" s="24">
        <f>COUNTIF('ZANGBA_Cleaned Data'!AKJ:AKJ,"1")</f>
        <v>3</v>
      </c>
      <c r="E208" s="24">
        <f>COUNTIF('ZANGBA_Cleaned Data'!AKK:AKK,"1")</f>
        <v>1</v>
      </c>
      <c r="F208" s="24">
        <f>COUNTIF('ZANGBA_Cleaned Data'!AKL:AKL,"1")</f>
        <v>3</v>
      </c>
      <c r="G208" s="24">
        <f>COUNTIF('ZANGBA_Cleaned Data'!AKM:AKM,"1")</f>
        <v>4</v>
      </c>
      <c r="H208" s="24">
        <f>COUNTIF('ZANGBA_Cleaned Data'!AKN:AKN,"1")</f>
        <v>3</v>
      </c>
      <c r="I208" s="24">
        <f>COUNTIF('ZANGBA_Cleaned Data'!AKO:AKO,"1")</f>
        <v>0</v>
      </c>
      <c r="J208" s="24">
        <f>COUNTIF('ZANGBA_Cleaned Data'!AKP:AKP,"1")</f>
        <v>0</v>
      </c>
      <c r="K208" s="24">
        <f>COUNTIF('ZANGBA_Cleaned Data'!AKQ:AKQ,"1")</f>
        <v>0</v>
      </c>
      <c r="L208" s="24">
        <f>COUNTIF('ZANGBA_Cleaned Data'!AKR:AKR,"1")</f>
        <v>2</v>
      </c>
    </row>
    <row r="209" spans="12:12" x14ac:dyDescent="0.3">
      <c r="L209" s="74" t="s">
        <v>3230</v>
      </c>
    </row>
  </sheetData>
  <conditionalFormatting sqref="B53:L53">
    <cfRule type="colorScale" priority="35">
      <colorScale>
        <cfvo type="min"/>
        <cfvo type="max"/>
        <color theme="6" tint="0.79998168889431442"/>
        <color theme="5" tint="0.39997558519241921"/>
      </colorScale>
    </cfRule>
  </conditionalFormatting>
  <conditionalFormatting sqref="C112:F112">
    <cfRule type="colorScale" priority="34">
      <colorScale>
        <cfvo type="min"/>
        <cfvo type="max"/>
        <color theme="6" tint="0.79998168889431442"/>
        <color theme="5" tint="0.39997558519241921"/>
      </colorScale>
    </cfRule>
  </conditionalFormatting>
  <conditionalFormatting sqref="C117:I117">
    <cfRule type="colorScale" priority="33">
      <colorScale>
        <cfvo type="min"/>
        <cfvo type="max"/>
        <color theme="6" tint="0.79998168889431442"/>
        <color theme="5" tint="0.39997558519241921"/>
      </colorScale>
    </cfRule>
  </conditionalFormatting>
  <conditionalFormatting sqref="C122:J122">
    <cfRule type="colorScale" priority="32">
      <colorScale>
        <cfvo type="min"/>
        <cfvo type="max"/>
        <color theme="6" tint="0.79998168889431442"/>
        <color theme="5" tint="0.39997558519241921"/>
      </colorScale>
    </cfRule>
  </conditionalFormatting>
  <conditionalFormatting sqref="A164:F165">
    <cfRule type="colorScale" priority="36">
      <colorScale>
        <cfvo type="min"/>
        <cfvo type="max"/>
        <color theme="6" tint="0.79998168889431442"/>
        <color theme="5" tint="0.39997558519241921"/>
      </colorScale>
    </cfRule>
  </conditionalFormatting>
  <conditionalFormatting sqref="B168:F168">
    <cfRule type="colorScale" priority="31">
      <colorScale>
        <cfvo type="min"/>
        <cfvo type="max"/>
        <color theme="6" tint="0.79998168889431442"/>
        <color theme="5" tint="0.39997558519241921"/>
      </colorScale>
    </cfRule>
  </conditionalFormatting>
  <conditionalFormatting sqref="A173:J173">
    <cfRule type="colorScale" priority="37">
      <colorScale>
        <cfvo type="min"/>
        <cfvo type="max"/>
        <color theme="6" tint="0.79998168889431442"/>
        <color theme="5" tint="0.39997558519241921"/>
      </colorScale>
    </cfRule>
  </conditionalFormatting>
  <conditionalFormatting sqref="A178:M178">
    <cfRule type="colorScale" priority="30">
      <colorScale>
        <cfvo type="min"/>
        <cfvo type="max"/>
        <color theme="6" tint="0.79998168889431442"/>
        <color theme="5" tint="0.39997558519241921"/>
      </colorScale>
    </cfRule>
  </conditionalFormatting>
  <conditionalFormatting sqref="D202:H202">
    <cfRule type="colorScale" priority="29">
      <colorScale>
        <cfvo type="min"/>
        <cfvo type="max"/>
        <color theme="6" tint="0.79998168889431442"/>
        <color theme="5" tint="0.39997558519241921"/>
      </colorScale>
    </cfRule>
  </conditionalFormatting>
  <conditionalFormatting sqref="A208:L208">
    <cfRule type="colorScale" priority="28">
      <colorScale>
        <cfvo type="min"/>
        <cfvo type="max"/>
        <color theme="6" tint="0.79998168889431442"/>
        <color theme="5" tint="0.39997558519241921"/>
      </colorScale>
    </cfRule>
  </conditionalFormatting>
  <conditionalFormatting sqref="C192:N192">
    <cfRule type="colorScale" priority="27">
      <colorScale>
        <cfvo type="min"/>
        <cfvo type="max"/>
        <color theme="6" tint="0.79998168889431442"/>
        <color theme="5" tint="0.39997558519241921"/>
      </colorScale>
    </cfRule>
  </conditionalFormatting>
  <conditionalFormatting sqref="B7:D7">
    <cfRule type="colorScale" priority="26">
      <colorScale>
        <cfvo type="min"/>
        <cfvo type="max"/>
        <color theme="6" tint="0.79998168889431442"/>
        <color theme="5" tint="0.39997558519241921"/>
      </colorScale>
    </cfRule>
  </conditionalFormatting>
  <conditionalFormatting sqref="B18:D18">
    <cfRule type="colorScale" priority="25">
      <colorScale>
        <cfvo type="min"/>
        <cfvo type="max"/>
        <color theme="6" tint="0.79998168889431442"/>
        <color theme="5" tint="0.39997558519241921"/>
      </colorScale>
    </cfRule>
  </conditionalFormatting>
  <conditionalFormatting sqref="B23:D23">
    <cfRule type="colorScale" priority="24">
      <colorScale>
        <cfvo type="min"/>
        <cfvo type="max"/>
        <color theme="6" tint="0.79998168889431442"/>
        <color theme="5" tint="0.39997558519241921"/>
      </colorScale>
    </cfRule>
  </conditionalFormatting>
  <conditionalFormatting sqref="C28:K28">
    <cfRule type="colorScale" priority="23">
      <colorScale>
        <cfvo type="min"/>
        <cfvo type="max"/>
        <color theme="6" tint="0.79998168889431442"/>
        <color theme="5" tint="0.39997558519241921"/>
      </colorScale>
    </cfRule>
  </conditionalFormatting>
  <conditionalFormatting sqref="C38:J38">
    <cfRule type="colorScale" priority="22">
      <colorScale>
        <cfvo type="min"/>
        <cfvo type="max"/>
        <color theme="6" tint="0.79998168889431442"/>
        <color theme="5" tint="0.39997558519241921"/>
      </colorScale>
    </cfRule>
  </conditionalFormatting>
  <conditionalFormatting sqref="C33:G33">
    <cfRule type="colorScale" priority="21">
      <colorScale>
        <cfvo type="min"/>
        <cfvo type="max"/>
        <color theme="6" tint="0.79998168889431442"/>
        <color theme="5" tint="0.39997558519241921"/>
      </colorScale>
    </cfRule>
  </conditionalFormatting>
  <conditionalFormatting sqref="C43:G43">
    <cfRule type="colorScale" priority="20">
      <colorScale>
        <cfvo type="min"/>
        <cfvo type="max"/>
        <color theme="6" tint="0.79998168889431442"/>
        <color theme="5" tint="0.39997558519241921"/>
      </colorScale>
    </cfRule>
  </conditionalFormatting>
  <conditionalFormatting sqref="B48:H48">
    <cfRule type="colorScale" priority="19">
      <colorScale>
        <cfvo type="min"/>
        <cfvo type="max"/>
        <color theme="6" tint="0.79998168889431442"/>
        <color theme="5" tint="0.39997558519241921"/>
      </colorScale>
    </cfRule>
  </conditionalFormatting>
  <conditionalFormatting sqref="B58:C58">
    <cfRule type="colorScale" priority="18">
      <colorScale>
        <cfvo type="min"/>
        <cfvo type="max"/>
        <color theme="6" tint="0.79998168889431442"/>
        <color theme="5" tint="0.39997558519241921"/>
      </colorScale>
    </cfRule>
  </conditionalFormatting>
  <conditionalFormatting sqref="C66:D66">
    <cfRule type="colorScale" priority="17">
      <colorScale>
        <cfvo type="min"/>
        <cfvo type="max"/>
        <color theme="6" tint="0.79998168889431442"/>
        <color theme="5" tint="0.39997558519241921"/>
      </colorScale>
    </cfRule>
  </conditionalFormatting>
  <conditionalFormatting sqref="C76:D76">
    <cfRule type="colorScale" priority="16">
      <colorScale>
        <cfvo type="min"/>
        <cfvo type="max"/>
        <color theme="6" tint="0.79998168889431442"/>
        <color theme="5" tint="0.39997558519241921"/>
      </colorScale>
    </cfRule>
  </conditionalFormatting>
  <conditionalFormatting sqref="B81:C81">
    <cfRule type="colorScale" priority="15">
      <colorScale>
        <cfvo type="min"/>
        <cfvo type="max"/>
        <color theme="6" tint="0.79998168889431442"/>
        <color theme="5" tint="0.39997558519241921"/>
      </colorScale>
    </cfRule>
  </conditionalFormatting>
  <conditionalFormatting sqref="B148:C148">
    <cfRule type="colorScale" priority="14">
      <colorScale>
        <cfvo type="min"/>
        <cfvo type="max"/>
        <color theme="6" tint="0.79998168889431442"/>
        <color theme="5" tint="0.39997558519241921"/>
      </colorScale>
    </cfRule>
  </conditionalFormatting>
  <conditionalFormatting sqref="B107:C107">
    <cfRule type="colorScale" priority="13">
      <colorScale>
        <cfvo type="min"/>
        <cfvo type="max"/>
        <color theme="6" tint="0.79998168889431442"/>
        <color theme="5" tint="0.39997558519241921"/>
      </colorScale>
    </cfRule>
  </conditionalFormatting>
  <conditionalFormatting sqref="B136:D136">
    <cfRule type="colorScale" priority="12">
      <colorScale>
        <cfvo type="min"/>
        <cfvo type="max"/>
        <color theme="6" tint="0.79998168889431442"/>
        <color theme="5" tint="0.39997558519241921"/>
      </colorScale>
    </cfRule>
  </conditionalFormatting>
  <conditionalFormatting sqref="B141:D141">
    <cfRule type="colorScale" priority="11">
      <colorScale>
        <cfvo type="min"/>
        <cfvo type="max"/>
        <color theme="6" tint="0.79998168889431442"/>
        <color theme="5" tint="0.39997558519241921"/>
      </colorScale>
    </cfRule>
  </conditionalFormatting>
  <conditionalFormatting sqref="B153:C153">
    <cfRule type="colorScale" priority="10">
      <colorScale>
        <cfvo type="min"/>
        <cfvo type="max"/>
        <color theme="6" tint="0.79998168889431442"/>
        <color theme="5" tint="0.39997558519241921"/>
      </colorScale>
    </cfRule>
  </conditionalFormatting>
  <conditionalFormatting sqref="F158:G158">
    <cfRule type="colorScale" priority="9">
      <colorScale>
        <cfvo type="min"/>
        <cfvo type="max"/>
        <color theme="6" tint="0.79998168889431442"/>
        <color theme="5" tint="0.39997558519241921"/>
      </colorScale>
    </cfRule>
  </conditionalFormatting>
  <conditionalFormatting sqref="B182:C182">
    <cfRule type="colorScale" priority="8">
      <colorScale>
        <cfvo type="min"/>
        <cfvo type="max"/>
        <color theme="6" tint="0.79998168889431442"/>
        <color theme="5" tint="0.39997558519241921"/>
      </colorScale>
    </cfRule>
  </conditionalFormatting>
  <conditionalFormatting sqref="C187:I187">
    <cfRule type="colorScale" priority="7">
      <colorScale>
        <cfvo type="min"/>
        <cfvo type="max"/>
        <color theme="6" tint="0.79998168889431442"/>
        <color theme="5" tint="0.39997558519241921"/>
      </colorScale>
    </cfRule>
  </conditionalFormatting>
  <conditionalFormatting sqref="C197:D197">
    <cfRule type="colorScale" priority="6">
      <colorScale>
        <cfvo type="min"/>
        <cfvo type="max"/>
        <color theme="6" tint="0.79998168889431442"/>
        <color theme="5" tint="0.39997558519241921"/>
      </colorScale>
    </cfRule>
  </conditionalFormatting>
  <conditionalFormatting sqref="B12:F12">
    <cfRule type="colorScale" priority="5">
      <colorScale>
        <cfvo type="min"/>
        <cfvo type="max"/>
        <color theme="6" tint="0.79998168889431442"/>
        <color theme="5" tint="0.39997558519241921"/>
      </colorScale>
    </cfRule>
  </conditionalFormatting>
  <conditionalFormatting sqref="D148">
    <cfRule type="colorScale" priority="4">
      <colorScale>
        <cfvo type="min"/>
        <cfvo type="max"/>
        <color theme="6" tint="0.79998168889431442"/>
        <color theme="5" tint="0.39997558519241921"/>
      </colorScale>
    </cfRule>
  </conditionalFormatting>
  <conditionalFormatting sqref="C86:K86">
    <cfRule type="colorScale" priority="3">
      <colorScale>
        <cfvo type="min"/>
        <cfvo type="max"/>
        <color theme="6" tint="0.79998168889431442"/>
        <color theme="5" tint="0.39997558519241921"/>
      </colorScale>
    </cfRule>
  </conditionalFormatting>
  <conditionalFormatting sqref="D107">
    <cfRule type="colorScale" priority="2">
      <colorScale>
        <cfvo type="min"/>
        <cfvo type="max"/>
        <color theme="6" tint="0.79998168889431442"/>
        <color theme="5" tint="0.39997558519241921"/>
      </colorScale>
    </cfRule>
  </conditionalFormatting>
  <conditionalFormatting sqref="E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P157"/>
  <sheetViews>
    <sheetView zoomScale="90" zoomScaleNormal="90" workbookViewId="0">
      <selection activeCell="D210" sqref="D210"/>
    </sheetView>
  </sheetViews>
  <sheetFormatPr defaultColWidth="8.81640625" defaultRowHeight="14" x14ac:dyDescent="0.3"/>
  <cols>
    <col min="1" max="1" width="21.1796875" style="10" customWidth="1"/>
    <col min="2" max="2" width="15.1796875" style="10" customWidth="1"/>
    <col min="3" max="3" width="13" style="10" customWidth="1"/>
    <col min="4" max="4" width="12.1796875" style="10" customWidth="1"/>
    <col min="5" max="5" width="13.36328125" style="10" customWidth="1"/>
    <col min="6" max="6" width="13.81640625" style="10" customWidth="1"/>
    <col min="7" max="7" width="11.453125" style="10" customWidth="1"/>
    <col min="8" max="8" width="12.6328125" style="10" customWidth="1"/>
    <col min="9" max="9" width="13.81640625" style="10" customWidth="1"/>
    <col min="10" max="10" width="13.90625" style="10" customWidth="1"/>
    <col min="11" max="11" width="9.7265625" style="10" customWidth="1"/>
    <col min="12" max="12" width="14.54296875" style="10" customWidth="1"/>
    <col min="13" max="13" width="14.1796875" style="10" customWidth="1"/>
    <col min="14" max="14" width="17.08984375" style="10" customWidth="1"/>
    <col min="15" max="16384" width="8.81640625" style="10"/>
  </cols>
  <sheetData>
    <row r="2" spans="1:10" ht="15.5" x14ac:dyDescent="0.35">
      <c r="A2" s="9" t="s">
        <v>1294</v>
      </c>
    </row>
    <row r="3" spans="1:10" ht="15.5" x14ac:dyDescent="0.3">
      <c r="A3" s="46" t="s">
        <v>3317</v>
      </c>
      <c r="B3" s="73">
        <f>COUNTIFS('ZANGBA_Cleaned Data'!N:N,"marche",'ZANGBA_Cleaned Data'!J:J,"ZANGBA")</f>
        <v>3</v>
      </c>
    </row>
    <row r="4" spans="1:10" ht="16" customHeight="1" x14ac:dyDescent="0.35">
      <c r="A4" s="9"/>
    </row>
    <row r="5" spans="1:10" ht="15.5" x14ac:dyDescent="0.35">
      <c r="A5" s="29" t="s">
        <v>1343</v>
      </c>
    </row>
    <row r="6" spans="1:10" ht="42" x14ac:dyDescent="0.3">
      <c r="A6" s="24"/>
      <c r="B6" s="8" t="s">
        <v>1210</v>
      </c>
      <c r="C6" s="8" t="s">
        <v>1209</v>
      </c>
      <c r="D6" s="8" t="s">
        <v>1533</v>
      </c>
      <c r="E6" s="71" t="s">
        <v>3315</v>
      </c>
    </row>
    <row r="7" spans="1:10" x14ac:dyDescent="0.3">
      <c r="A7" s="24" t="s">
        <v>1207</v>
      </c>
      <c r="B7" s="24">
        <f>COUNTIF('ZANGBA_Cleaned Data'!AKU:AKU,"oui")</f>
        <v>3</v>
      </c>
      <c r="C7" s="24">
        <f>COUNTIF('ZANGBA_Cleaned Data'!AKU:AKU,"non")</f>
        <v>0</v>
      </c>
      <c r="D7" s="24">
        <f>COUNTIF('ZANGBA_Cleaned Data'!AKU:AKU,"partiel")</f>
        <v>0</v>
      </c>
      <c r="E7" s="62">
        <f>SUM(B7+D7)</f>
        <v>3</v>
      </c>
    </row>
    <row r="8" spans="1:10" ht="26" x14ac:dyDescent="0.3">
      <c r="A8" s="121" t="s">
        <v>3316</v>
      </c>
      <c r="B8" s="39">
        <f>(B7/$E$7)</f>
        <v>1</v>
      </c>
      <c r="C8" s="39">
        <f>(C7/$E$7)</f>
        <v>0</v>
      </c>
      <c r="D8" s="38">
        <f>COUNTIF('ZANGBA_Cleaned Data'!AIS2:AIS38,"partiel")</f>
        <v>0</v>
      </c>
      <c r="E8" s="126">
        <f>SUM(B8+D8)</f>
        <v>1</v>
      </c>
    </row>
    <row r="9" spans="1:10" x14ac:dyDescent="0.3">
      <c r="A9" s="14"/>
      <c r="B9" s="15"/>
      <c r="C9" s="15"/>
      <c r="D9" s="16"/>
      <c r="E9" s="14"/>
    </row>
    <row r="10" spans="1:10" ht="15.5" x14ac:dyDescent="0.35">
      <c r="A10" s="45" t="s">
        <v>1344</v>
      </c>
    </row>
    <row r="11" spans="1:10" x14ac:dyDescent="0.3">
      <c r="A11" s="24"/>
      <c r="B11" s="8" t="s">
        <v>1210</v>
      </c>
      <c r="C11" s="8" t="s">
        <v>1209</v>
      </c>
      <c r="D11" s="127" t="s">
        <v>1206</v>
      </c>
    </row>
    <row r="12" spans="1:10" x14ac:dyDescent="0.3">
      <c r="A12" s="24" t="s">
        <v>1207</v>
      </c>
      <c r="B12" s="24">
        <f>COUNTIF('ZANGBA_Cleaned Data'!ALF:ALF,"oui")</f>
        <v>0</v>
      </c>
      <c r="C12" s="24">
        <f>COUNTIF('ZANGBA_Cleaned Data'!ALF:ALF,"non")</f>
        <v>3</v>
      </c>
      <c r="D12" s="25">
        <f>SUM(B12:C12)</f>
        <v>3</v>
      </c>
    </row>
    <row r="13" spans="1:10" ht="26" x14ac:dyDescent="0.3">
      <c r="A13" s="121" t="s">
        <v>3316</v>
      </c>
      <c r="B13" s="39">
        <f>(B12/$B$3)</f>
        <v>0</v>
      </c>
      <c r="C13" s="39">
        <f>(C12/$B$3)</f>
        <v>1</v>
      </c>
      <c r="D13" s="128">
        <f>SUM(B13:C13)</f>
        <v>1</v>
      </c>
    </row>
    <row r="14" spans="1:10" x14ac:dyDescent="0.3">
      <c r="A14" s="14"/>
      <c r="B14" s="15"/>
      <c r="C14" s="15"/>
      <c r="D14" s="14"/>
    </row>
    <row r="15" spans="1:10" x14ac:dyDescent="0.3">
      <c r="A15" s="14"/>
      <c r="B15" s="18" t="s">
        <v>1345</v>
      </c>
      <c r="G15" s="14"/>
      <c r="H15" s="15"/>
      <c r="I15" s="15"/>
      <c r="J15" s="14"/>
    </row>
    <row r="16" spans="1:10" x14ac:dyDescent="0.3">
      <c r="A16" s="14"/>
      <c r="B16" s="24"/>
      <c r="C16" s="11" t="s">
        <v>1210</v>
      </c>
      <c r="D16" s="11" t="s">
        <v>1209</v>
      </c>
      <c r="E16" s="127" t="s">
        <v>1206</v>
      </c>
      <c r="G16" s="14"/>
      <c r="H16" s="15"/>
      <c r="I16" s="15"/>
      <c r="J16" s="14"/>
    </row>
    <row r="17" spans="1:10" x14ac:dyDescent="0.3">
      <c r="A17" s="14"/>
      <c r="B17" s="24" t="s">
        <v>1207</v>
      </c>
      <c r="C17" s="24">
        <f>COUNTIF('ZANGBA_Cleaned Data'!ALG:ALG,"oui")</f>
        <v>3</v>
      </c>
      <c r="D17" s="24">
        <f>COUNTIF('ZANGBA_Cleaned Data'!ALG:ALG,"non")</f>
        <v>0</v>
      </c>
      <c r="E17" s="25">
        <f>SUM(C17:D17)</f>
        <v>3</v>
      </c>
      <c r="G17" s="14"/>
      <c r="H17" s="15"/>
      <c r="I17" s="15"/>
      <c r="J17" s="14"/>
    </row>
    <row r="18" spans="1:10" ht="37.5" x14ac:dyDescent="0.3">
      <c r="B18" s="121" t="s">
        <v>3319</v>
      </c>
      <c r="C18" s="39">
        <f>(C17/$E$7)</f>
        <v>1</v>
      </c>
      <c r="D18" s="39">
        <f>(D17/$E$7)</f>
        <v>0</v>
      </c>
      <c r="E18" s="128">
        <f>SUM(C18:D18)</f>
        <v>1</v>
      </c>
    </row>
    <row r="20" spans="1:10" ht="15.5" x14ac:dyDescent="0.35">
      <c r="A20" s="29" t="s">
        <v>1337</v>
      </c>
      <c r="B20" s="103" t="s">
        <v>3245</v>
      </c>
    </row>
    <row r="21" spans="1:10" ht="28" x14ac:dyDescent="0.3">
      <c r="A21" s="37"/>
      <c r="B21" s="8" t="s">
        <v>1335</v>
      </c>
      <c r="C21" s="8" t="s">
        <v>1336</v>
      </c>
      <c r="D21" s="8" t="s">
        <v>1338</v>
      </c>
      <c r="E21" s="8" t="s">
        <v>1339</v>
      </c>
      <c r="F21" s="8" t="s">
        <v>1340</v>
      </c>
      <c r="G21" s="8" t="s">
        <v>1341</v>
      </c>
      <c r="H21" s="8" t="s">
        <v>1342</v>
      </c>
      <c r="I21" s="8" t="s">
        <v>1205</v>
      </c>
    </row>
    <row r="22" spans="1:10" x14ac:dyDescent="0.3">
      <c r="A22" s="24" t="s">
        <v>1207</v>
      </c>
      <c r="B22" s="24">
        <f>COUNTIF('ZANGBA_Cleaned Data'!ALO:ALO,"1")</f>
        <v>3</v>
      </c>
      <c r="C22" s="24">
        <f>COUNTIF('ZANGBA_Cleaned Data'!ALP:ALP,"1")</f>
        <v>1</v>
      </c>
      <c r="D22" s="24">
        <f>COUNTIF('ZANGBA_Cleaned Data'!ALQ:ALQ,"1")</f>
        <v>3</v>
      </c>
      <c r="E22" s="24">
        <f>COUNTIF('ZANGBA_Cleaned Data'!ALR:ALR,"1")</f>
        <v>0</v>
      </c>
      <c r="F22" s="24">
        <f>COUNTIF('ZANGBA_Cleaned Data'!ALS:ALS,"1")</f>
        <v>2</v>
      </c>
      <c r="G22" s="24">
        <f>COUNTIF('ZANGBA_Cleaned Data'!ALT:ALT,"1")</f>
        <v>0</v>
      </c>
      <c r="H22" s="24">
        <f>COUNTIF('ZANGBA_Cleaned Data'!ALU:ALU,"1")</f>
        <v>0</v>
      </c>
      <c r="I22" s="24">
        <f>COUNTIF('ZANGBA_Cleaned Data'!ALV:ALV,"1")</f>
        <v>0</v>
      </c>
    </row>
    <row r="23" spans="1:10" ht="26" x14ac:dyDescent="0.3">
      <c r="A23" s="121" t="s">
        <v>3319</v>
      </c>
      <c r="B23" s="39">
        <f>B22/$E$7</f>
        <v>1</v>
      </c>
      <c r="C23" s="39">
        <f t="shared" ref="C23:I23" si="0">C22/$E$7</f>
        <v>0.33333333333333331</v>
      </c>
      <c r="D23" s="39">
        <f t="shared" si="0"/>
        <v>1</v>
      </c>
      <c r="E23" s="39">
        <f t="shared" si="0"/>
        <v>0</v>
      </c>
      <c r="F23" s="39">
        <f t="shared" si="0"/>
        <v>0.66666666666666663</v>
      </c>
      <c r="G23" s="39">
        <f t="shared" si="0"/>
        <v>0</v>
      </c>
      <c r="H23" s="39">
        <f t="shared" si="0"/>
        <v>0</v>
      </c>
      <c r="I23" s="39">
        <f t="shared" si="0"/>
        <v>0</v>
      </c>
    </row>
    <row r="24" spans="1:10" x14ac:dyDescent="0.3">
      <c r="A24" s="14"/>
      <c r="B24" s="15"/>
      <c r="C24" s="15"/>
      <c r="D24" s="14"/>
      <c r="G24" s="14"/>
      <c r="H24" s="15"/>
      <c r="I24" s="15"/>
      <c r="J24" s="14"/>
    </row>
    <row r="25" spans="1:10" ht="15.5" x14ac:dyDescent="0.35">
      <c r="A25" s="29" t="s">
        <v>1346</v>
      </c>
    </row>
    <row r="26" spans="1:10" x14ac:dyDescent="0.3">
      <c r="A26" s="21">
        <f>IF('ZANGBA_Cleaned Data'!AMW:AMW&lt;999,AVERAGE('ZANGBA_Cleaned Data'!AMW:AMW))</f>
        <v>18.666666666666668</v>
      </c>
    </row>
    <row r="28" spans="1:10" ht="15.5" x14ac:dyDescent="0.35">
      <c r="A28" s="29" t="s">
        <v>1999</v>
      </c>
    </row>
    <row r="29" spans="1:10" x14ac:dyDescent="0.3">
      <c r="A29" s="24"/>
      <c r="B29" s="8" t="s">
        <v>1210</v>
      </c>
      <c r="C29" s="8" t="s">
        <v>1209</v>
      </c>
      <c r="D29" s="127" t="s">
        <v>1206</v>
      </c>
    </row>
    <row r="30" spans="1:10" x14ac:dyDescent="0.3">
      <c r="A30" s="24" t="s">
        <v>1207</v>
      </c>
      <c r="B30" s="24">
        <f>COUNTIF('ZANGBA_Cleaned Data'!AMX:AMX,"oui")</f>
        <v>3</v>
      </c>
      <c r="C30" s="24">
        <f>COUNTIF('ZANGBA_Cleaned Data'!AMX:AMX,"non")</f>
        <v>0</v>
      </c>
      <c r="D30" s="25">
        <f>SUM(B30:C30)</f>
        <v>3</v>
      </c>
    </row>
    <row r="31" spans="1:10" ht="26" x14ac:dyDescent="0.3">
      <c r="A31" s="121" t="s">
        <v>3319</v>
      </c>
      <c r="B31" s="39">
        <f>(B30/$E$7)</f>
        <v>1</v>
      </c>
      <c r="C31" s="39">
        <f>(C30/$E$7)</f>
        <v>0</v>
      </c>
      <c r="D31" s="128">
        <f>SUM(B31:C31)</f>
        <v>1</v>
      </c>
    </row>
    <row r="33" spans="1:13" x14ac:dyDescent="0.3">
      <c r="B33" s="18" t="s">
        <v>1992</v>
      </c>
    </row>
    <row r="34" spans="1:13" ht="28" x14ac:dyDescent="0.3">
      <c r="B34" s="24"/>
      <c r="C34" s="11" t="s">
        <v>1307</v>
      </c>
      <c r="D34" s="11" t="s">
        <v>1308</v>
      </c>
      <c r="E34" s="11" t="s">
        <v>1309</v>
      </c>
      <c r="F34" s="11" t="s">
        <v>1225</v>
      </c>
      <c r="G34" s="127" t="s">
        <v>1206</v>
      </c>
    </row>
    <row r="35" spans="1:13" x14ac:dyDescent="0.3">
      <c r="B35" s="24" t="s">
        <v>1207</v>
      </c>
      <c r="C35" s="24">
        <f>COUNTIF('ZANGBA_Cleaned Data'!AMY:AMY,"peu_diminue")</f>
        <v>3</v>
      </c>
      <c r="D35" s="24">
        <f>COUNTIF('ZANGBA_Cleaned Data'!AMY:AMY,"bcp_diminue")</f>
        <v>0</v>
      </c>
      <c r="E35" s="24">
        <f>COUNTIF('ZANGBA_Cleaned Data'!AMY:AMY,"peu_augmente")</f>
        <v>0</v>
      </c>
      <c r="F35" s="24">
        <f>COUNTIF('ZANGBA_Cleaned Data'!AMY:AMY,"bcp_augmente")</f>
        <v>0</v>
      </c>
      <c r="G35" s="25">
        <f>SUM(C35:F35)</f>
        <v>3</v>
      </c>
    </row>
    <row r="36" spans="1:13" ht="49" x14ac:dyDescent="0.3">
      <c r="B36" s="121" t="s">
        <v>3320</v>
      </c>
      <c r="C36" s="39">
        <f>C35/$B$30</f>
        <v>1</v>
      </c>
      <c r="D36" s="39">
        <f t="shared" ref="D36:F36" si="1">D35/$B$30</f>
        <v>0</v>
      </c>
      <c r="E36" s="39">
        <f t="shared" si="1"/>
        <v>0</v>
      </c>
      <c r="F36" s="39">
        <f t="shared" si="1"/>
        <v>0</v>
      </c>
      <c r="G36" s="128">
        <f>SUM(C36:F36)</f>
        <v>1</v>
      </c>
    </row>
    <row r="38" spans="1:13" x14ac:dyDescent="0.3">
      <c r="B38" s="18" t="s">
        <v>1310</v>
      </c>
      <c r="D38" s="103" t="s">
        <v>3245</v>
      </c>
    </row>
    <row r="39" spans="1:13" s="41" customFormat="1" ht="70" x14ac:dyDescent="0.3">
      <c r="B39" s="24"/>
      <c r="C39" s="12" t="s">
        <v>1993</v>
      </c>
      <c r="D39" s="12" t="s">
        <v>1994</v>
      </c>
      <c r="E39" s="12" t="s">
        <v>1995</v>
      </c>
      <c r="F39" s="12" t="s">
        <v>1347</v>
      </c>
      <c r="G39" s="12" t="s">
        <v>1348</v>
      </c>
      <c r="H39" s="12" t="s">
        <v>1996</v>
      </c>
      <c r="I39" s="12" t="s">
        <v>1997</v>
      </c>
      <c r="J39" s="12" t="s">
        <v>1998</v>
      </c>
      <c r="K39" s="12" t="s">
        <v>1349</v>
      </c>
      <c r="L39" s="12" t="s">
        <v>1905</v>
      </c>
      <c r="M39" s="12" t="s">
        <v>1205</v>
      </c>
    </row>
    <row r="40" spans="1:13" x14ac:dyDescent="0.3">
      <c r="B40" s="24" t="s">
        <v>1207</v>
      </c>
      <c r="C40" s="24">
        <f>COUNTIF('ZANGBA_Cleaned Data'!ANL:ANL,"1")</f>
        <v>3</v>
      </c>
      <c r="D40" s="24">
        <f>COUNTIF('ZANGBA_Cleaned Data'!ANM:ANM,"1")</f>
        <v>0</v>
      </c>
      <c r="E40" s="24">
        <f>COUNTIF('ZANGBA_Cleaned Data'!ANN:ANN,"1")</f>
        <v>0</v>
      </c>
      <c r="F40" s="24">
        <f>COUNTIF('ZANGBA_Cleaned Data'!ANO:ANO,"1")</f>
        <v>1</v>
      </c>
      <c r="G40" s="24">
        <f>COUNTIF('ZANGBA_Cleaned Data'!ANP:ANP,"1")</f>
        <v>1</v>
      </c>
      <c r="H40" s="24">
        <f>COUNTIF('ZANGBA_Cleaned Data'!ANV:ANV,"1")</f>
        <v>2</v>
      </c>
      <c r="I40" s="24">
        <f>COUNTIF('ZANGBA_Cleaned Data'!ANQ:ANQ,"1")</f>
        <v>1</v>
      </c>
      <c r="J40" s="24">
        <f>COUNTIF('ZANGBA_Cleaned Data'!ANR:ANR,"1")</f>
        <v>1</v>
      </c>
      <c r="K40" s="24">
        <f>COUNTIF('ZANGBA_Cleaned Data'!ANS:ANS,"1")</f>
        <v>2</v>
      </c>
      <c r="L40" s="24">
        <f>COUNTIF('ZANGBA_Cleaned Data'!ANT:ANT,"1")</f>
        <v>0</v>
      </c>
      <c r="M40" s="24">
        <f>COUNTIF('ZANGBA_Cleaned Data'!ANU:ANU,"1")</f>
        <v>0</v>
      </c>
    </row>
    <row r="41" spans="1:13" ht="49" x14ac:dyDescent="0.3">
      <c r="B41" s="121" t="s">
        <v>3321</v>
      </c>
      <c r="C41" s="39">
        <f>C40/(C35+D35)</f>
        <v>1</v>
      </c>
      <c r="D41" s="39">
        <f>D40/(C35+D35)</f>
        <v>0</v>
      </c>
      <c r="E41" s="39">
        <f>E40/(C35+D35)</f>
        <v>0</v>
      </c>
      <c r="F41" s="39">
        <f>F40/(C35+D35)</f>
        <v>0.33333333333333331</v>
      </c>
      <c r="G41" s="39">
        <f>G40/(C35+D35)</f>
        <v>0.33333333333333331</v>
      </c>
      <c r="H41" s="39">
        <f>H40/(C35+D35)</f>
        <v>0.66666666666666663</v>
      </c>
      <c r="I41" s="39">
        <f>I40/(C35+D35)</f>
        <v>0.33333333333333331</v>
      </c>
      <c r="J41" s="39">
        <f>J40/(C35+D35)</f>
        <v>0.33333333333333331</v>
      </c>
      <c r="K41" s="39">
        <f>K40/(C35+D35)</f>
        <v>0.66666666666666663</v>
      </c>
      <c r="L41" s="39">
        <f>L40/(C35+D35)</f>
        <v>0</v>
      </c>
      <c r="M41" s="39">
        <f>M40/(C35+D35)</f>
        <v>0</v>
      </c>
    </row>
    <row r="43" spans="1:13" x14ac:dyDescent="0.3">
      <c r="B43" s="18" t="s">
        <v>1227</v>
      </c>
      <c r="D43" s="103" t="s">
        <v>3245</v>
      </c>
    </row>
    <row r="44" spans="1:13" s="41" customFormat="1" ht="84" x14ac:dyDescent="0.3">
      <c r="B44" s="24"/>
      <c r="C44" s="12" t="s">
        <v>2316</v>
      </c>
      <c r="D44" s="12" t="s">
        <v>2317</v>
      </c>
      <c r="E44" s="12" t="s">
        <v>2318</v>
      </c>
      <c r="F44" s="12" t="s">
        <v>2319</v>
      </c>
      <c r="G44" s="12" t="s">
        <v>2320</v>
      </c>
      <c r="H44" s="12" t="s">
        <v>2321</v>
      </c>
      <c r="I44" s="12" t="s">
        <v>2322</v>
      </c>
      <c r="J44" s="12" t="s">
        <v>1905</v>
      </c>
      <c r="K44" s="12" t="s">
        <v>1205</v>
      </c>
    </row>
    <row r="45" spans="1:13" x14ac:dyDescent="0.3">
      <c r="B45" s="24" t="s">
        <v>1207</v>
      </c>
      <c r="C45" s="24">
        <f>COUNTIF('ZANGBA_Cleaned Data'!ANA:ANA,"1")</f>
        <v>0</v>
      </c>
      <c r="D45" s="24">
        <f>COUNTIF('ZANGBA_Cleaned Data'!ANB:ANB,"1")</f>
        <v>0</v>
      </c>
      <c r="E45" s="24">
        <f>COUNTIF('ZANGBA_Cleaned Data'!ANC:ANC,"1")</f>
        <v>0</v>
      </c>
      <c r="F45" s="24">
        <f>COUNTIF('ZANGBA_Cleaned Data'!AND:AND,"1")</f>
        <v>0</v>
      </c>
      <c r="G45" s="24">
        <f>COUNTIF('ZANGBA_Cleaned Data'!ANE:ANE,"1")</f>
        <v>0</v>
      </c>
      <c r="H45" s="24">
        <f>COUNTIF('ZANGBA_Cleaned Data'!ANF:ANF,"1")</f>
        <v>0</v>
      </c>
      <c r="I45" s="24">
        <f>COUNTIF('ZANGBA_Cleaned Data'!ANG:ANG,"1")</f>
        <v>0</v>
      </c>
      <c r="J45" s="24">
        <f>COUNTIF('ZANGBA_Cleaned Data'!ANH:ANH,"1")</f>
        <v>0</v>
      </c>
      <c r="K45" s="24">
        <f>COUNTIF('ZANGBA_Cleaned Data'!ANI:ANI,"1")</f>
        <v>0</v>
      </c>
      <c r="L45" s="41"/>
      <c r="M45" s="41"/>
    </row>
    <row r="46" spans="1:13" ht="49" x14ac:dyDescent="0.3">
      <c r="B46" s="121" t="s">
        <v>3322</v>
      </c>
      <c r="C46" s="39" t="e">
        <f>C45/(E35+F35)</f>
        <v>#DIV/0!</v>
      </c>
      <c r="D46" s="39" t="e">
        <f>D45/(E35+F35)</f>
        <v>#DIV/0!</v>
      </c>
      <c r="E46" s="39" t="e">
        <f>E45/(E35+F35)</f>
        <v>#DIV/0!</v>
      </c>
      <c r="F46" s="39" t="e">
        <f>F45/(E35+F35)</f>
        <v>#DIV/0!</v>
      </c>
      <c r="G46" s="39" t="e">
        <f>G45/(E35+F35)</f>
        <v>#DIV/0!</v>
      </c>
      <c r="H46" s="39" t="e">
        <f>H45/(E35+F35)</f>
        <v>#DIV/0!</v>
      </c>
      <c r="I46" s="39" t="e">
        <f>I45/(E35+F35)</f>
        <v>#DIV/0!</v>
      </c>
      <c r="J46" s="39" t="e">
        <f>J45/(E35+F35)</f>
        <v>#DIV/0!</v>
      </c>
      <c r="K46" s="39" t="e">
        <f>K45/(E35+F35)</f>
        <v>#DIV/0!</v>
      </c>
      <c r="L46" s="41"/>
      <c r="M46" s="41"/>
    </row>
    <row r="48" spans="1:13" ht="15.5" x14ac:dyDescent="0.35">
      <c r="A48" s="29" t="s">
        <v>1350</v>
      </c>
    </row>
    <row r="49" spans="1:12" x14ac:dyDescent="0.3">
      <c r="A49" s="24"/>
      <c r="B49" s="8" t="s">
        <v>1210</v>
      </c>
      <c r="C49" s="8" t="s">
        <v>1209</v>
      </c>
      <c r="D49" s="127" t="s">
        <v>1206</v>
      </c>
    </row>
    <row r="50" spans="1:12" x14ac:dyDescent="0.3">
      <c r="A50" s="24" t="s">
        <v>1207</v>
      </c>
      <c r="B50" s="24">
        <f>COUNTIF('ZANGBA_Cleaned Data'!ANX:ANX,"oui")</f>
        <v>0</v>
      </c>
      <c r="C50" s="24">
        <f>COUNTIF('ZANGBA_Cleaned Data'!ANX:ANX,"non")</f>
        <v>3</v>
      </c>
      <c r="D50" s="25">
        <f>SUM(B50:C50)</f>
        <v>3</v>
      </c>
    </row>
    <row r="51" spans="1:12" ht="26" x14ac:dyDescent="0.3">
      <c r="A51" s="121" t="s">
        <v>3319</v>
      </c>
      <c r="B51" s="39">
        <f>(B50/$E$7)</f>
        <v>0</v>
      </c>
      <c r="C51" s="39">
        <f>(C50/$E$7)</f>
        <v>1</v>
      </c>
      <c r="D51" s="128">
        <f>SUM(B51:C51)</f>
        <v>1</v>
      </c>
    </row>
    <row r="52" spans="1:12" x14ac:dyDescent="0.3">
      <c r="A52" s="14"/>
      <c r="B52" s="15"/>
      <c r="C52" s="15"/>
    </row>
    <row r="53" spans="1:12" ht="15.5" x14ac:dyDescent="0.35">
      <c r="A53" s="29" t="s">
        <v>1303</v>
      </c>
      <c r="B53" s="103" t="s">
        <v>3245</v>
      </c>
    </row>
    <row r="54" spans="1:12" ht="56" x14ac:dyDescent="0.3">
      <c r="A54" s="24"/>
      <c r="B54" s="8" t="s">
        <v>1982</v>
      </c>
      <c r="C54" s="8" t="s">
        <v>1889</v>
      </c>
      <c r="D54" s="8" t="s">
        <v>1890</v>
      </c>
      <c r="E54" s="8" t="s">
        <v>1891</v>
      </c>
      <c r="F54" s="8" t="s">
        <v>1892</v>
      </c>
      <c r="G54" s="8" t="s">
        <v>1893</v>
      </c>
      <c r="H54" s="8" t="s">
        <v>1239</v>
      </c>
      <c r="I54" s="8" t="s">
        <v>1894</v>
      </c>
      <c r="J54" s="8" t="s">
        <v>1895</v>
      </c>
      <c r="K54" s="8" t="s">
        <v>1905</v>
      </c>
      <c r="L54" s="8" t="s">
        <v>1205</v>
      </c>
    </row>
    <row r="55" spans="1:12" x14ac:dyDescent="0.3">
      <c r="A55" s="24" t="s">
        <v>1207</v>
      </c>
      <c r="B55" s="38">
        <f>COUNTIF('ZANGBA_Cleaned Data'!ARH:ARH,"1")</f>
        <v>0</v>
      </c>
      <c r="C55" s="38">
        <f>COUNTIF('ZANGBA_Cleaned Data'!ARI:ARI,"1")</f>
        <v>1</v>
      </c>
      <c r="D55" s="38">
        <f>COUNTIF('ZANGBA_Cleaned Data'!ARJ:ARJ,"1")</f>
        <v>1</v>
      </c>
      <c r="E55" s="38">
        <f>COUNTIF('ZANGBA_Cleaned Data'!ARQ:ARQ,"1")</f>
        <v>1</v>
      </c>
      <c r="F55" s="38">
        <f>COUNTIF('ZANGBA_Cleaned Data'!ARR:ARR,"1")</f>
        <v>0</v>
      </c>
      <c r="G55" s="38">
        <f>COUNTIF('ZANGBA_Cleaned Data'!ARK:ARK,"1")</f>
        <v>0</v>
      </c>
      <c r="H55" s="38">
        <f>COUNTIF('ZANGBA_Cleaned Data'!ARL:ARL,"1")</f>
        <v>0</v>
      </c>
      <c r="I55" s="38">
        <f>COUNTIF('ZANGBA_Cleaned Data'!ARM:ARM,"1")</f>
        <v>0</v>
      </c>
      <c r="J55" s="38">
        <f>COUNTIF('ZANGBA_Cleaned Data'!ARS:ARS,"1")</f>
        <v>0</v>
      </c>
      <c r="K55" s="38">
        <f>COUNTIF('ZANGBA_Cleaned Data'!ARO:ARO,"1")</f>
        <v>0</v>
      </c>
      <c r="L55" s="38">
        <f>COUNTIF('ZANGBA_Cleaned Data'!ARP:ARP,"1")</f>
        <v>0</v>
      </c>
    </row>
    <row r="56" spans="1:12" ht="26" x14ac:dyDescent="0.3">
      <c r="A56" s="121" t="s">
        <v>3316</v>
      </c>
      <c r="B56" s="39">
        <f t="shared" ref="B56:L56" si="2">B55/$B$3</f>
        <v>0</v>
      </c>
      <c r="C56" s="39">
        <f t="shared" si="2"/>
        <v>0.33333333333333331</v>
      </c>
      <c r="D56" s="39">
        <f t="shared" si="2"/>
        <v>0.33333333333333331</v>
      </c>
      <c r="E56" s="39">
        <f t="shared" si="2"/>
        <v>0.33333333333333331</v>
      </c>
      <c r="F56" s="39">
        <f t="shared" si="2"/>
        <v>0</v>
      </c>
      <c r="G56" s="39">
        <f t="shared" si="2"/>
        <v>0</v>
      </c>
      <c r="H56" s="39">
        <f t="shared" si="2"/>
        <v>0</v>
      </c>
      <c r="I56" s="39">
        <f t="shared" si="2"/>
        <v>0</v>
      </c>
      <c r="J56" s="39">
        <f t="shared" si="2"/>
        <v>0</v>
      </c>
      <c r="K56" s="39">
        <f t="shared" si="2"/>
        <v>0</v>
      </c>
      <c r="L56" s="39">
        <f t="shared" si="2"/>
        <v>0</v>
      </c>
    </row>
    <row r="58" spans="1:12" ht="15.5" x14ac:dyDescent="0.35">
      <c r="A58" s="9" t="s">
        <v>1351</v>
      </c>
    </row>
    <row r="59" spans="1:12" ht="15.5" x14ac:dyDescent="0.35">
      <c r="A59" s="29" t="s">
        <v>3323</v>
      </c>
      <c r="C59" s="103" t="s">
        <v>3245</v>
      </c>
    </row>
    <row r="60" spans="1:12" s="36" customFormat="1" ht="70" x14ac:dyDescent="0.3">
      <c r="A60" s="24"/>
      <c r="B60" s="35" t="s">
        <v>1355</v>
      </c>
      <c r="C60" s="35" t="s">
        <v>1356</v>
      </c>
      <c r="D60" s="35" t="s">
        <v>1352</v>
      </c>
      <c r="E60" s="35" t="s">
        <v>1353</v>
      </c>
      <c r="F60" s="35" t="s">
        <v>1354</v>
      </c>
      <c r="G60" s="35" t="s">
        <v>1357</v>
      </c>
      <c r="H60" s="35" t="s">
        <v>1905</v>
      </c>
      <c r="I60" s="35" t="s">
        <v>1220</v>
      </c>
    </row>
    <row r="61" spans="1:12" x14ac:dyDescent="0.3">
      <c r="A61" s="24" t="s">
        <v>1207</v>
      </c>
      <c r="B61" s="24">
        <f>COUNTIF('ZANGBA_Cleaned Data'!AOA:AOA,"1")</f>
        <v>3</v>
      </c>
      <c r="C61" s="24">
        <f>COUNTIF('ZANGBA_Cleaned Data'!AOB:AOB,"1")</f>
        <v>1</v>
      </c>
      <c r="D61" s="24">
        <f>COUNTIF('ZANGBA_Cleaned Data'!AOC:AOC,"1")</f>
        <v>0</v>
      </c>
      <c r="E61" s="24">
        <f>COUNTIF('ZANGBA_Cleaned Data'!AOD:AOD,"1")</f>
        <v>0</v>
      </c>
      <c r="F61" s="24">
        <f>COUNTIF('ZANGBA_Cleaned Data'!AOE:AOE,"1")</f>
        <v>0</v>
      </c>
      <c r="G61" s="24">
        <f>COUNTIF('ZANGBA_Cleaned Data'!AOF:AOF,"1")</f>
        <v>1</v>
      </c>
      <c r="H61" s="24">
        <f>COUNTIF('ZANGBA_Cleaned Data'!AOG:AOG,"1")</f>
        <v>0</v>
      </c>
      <c r="I61" s="24">
        <f>COUNTIF('ZANGBA_Cleaned Data'!AOH:AOH,"1")</f>
        <v>0</v>
      </c>
      <c r="J61" s="14"/>
    </row>
    <row r="62" spans="1:12" ht="26" x14ac:dyDescent="0.3">
      <c r="A62" s="121" t="s">
        <v>3319</v>
      </c>
      <c r="B62" s="39">
        <f>B61/$E$7</f>
        <v>1</v>
      </c>
      <c r="C62" s="39">
        <f t="shared" ref="C62:I62" si="3">C61/$E$7</f>
        <v>0.33333333333333331</v>
      </c>
      <c r="D62" s="39">
        <f t="shared" si="3"/>
        <v>0</v>
      </c>
      <c r="E62" s="39">
        <f t="shared" si="3"/>
        <v>0</v>
      </c>
      <c r="F62" s="39">
        <f t="shared" si="3"/>
        <v>0</v>
      </c>
      <c r="G62" s="39">
        <f t="shared" si="3"/>
        <v>0.33333333333333331</v>
      </c>
      <c r="H62" s="39">
        <f t="shared" si="3"/>
        <v>0</v>
      </c>
      <c r="I62" s="39">
        <f t="shared" si="3"/>
        <v>0</v>
      </c>
    </row>
    <row r="63" spans="1:12" x14ac:dyDescent="0.3">
      <c r="A63" s="130"/>
    </row>
    <row r="64" spans="1:12" x14ac:dyDescent="0.3">
      <c r="B64" s="18" t="s">
        <v>1358</v>
      </c>
    </row>
    <row r="65" spans="1:9" ht="42" x14ac:dyDescent="0.3">
      <c r="B65" s="24"/>
      <c r="C65" s="12" t="s">
        <v>1359</v>
      </c>
      <c r="D65" s="12" t="s">
        <v>1360</v>
      </c>
      <c r="E65" s="12" t="s">
        <v>1361</v>
      </c>
      <c r="F65" s="12" t="s">
        <v>1362</v>
      </c>
      <c r="G65" s="12" t="s">
        <v>1905</v>
      </c>
      <c r="H65" s="12" t="s">
        <v>1220</v>
      </c>
      <c r="I65" s="127" t="s">
        <v>1206</v>
      </c>
    </row>
    <row r="66" spans="1:9" x14ac:dyDescent="0.3">
      <c r="B66" s="24" t="s">
        <v>1207</v>
      </c>
      <c r="C66" s="24">
        <f>COUNTIF('ZANGBA_Cleaned Data'!AOL:AOL,"local")</f>
        <v>1</v>
      </c>
      <c r="D66" s="24">
        <f>COUNTIF('ZANGBA_Cleaned Data'!AOM:AOM,"local")</f>
        <v>0</v>
      </c>
      <c r="E66" s="24">
        <f>COUNTIF('ZANGBA_Cleaned Data'!AON:AON,"local")</f>
        <v>0</v>
      </c>
      <c r="F66" s="24">
        <f>COUNTIF('ZANGBA_Cleaned Data'!AOO:AOO,"local")</f>
        <v>0</v>
      </c>
      <c r="G66" s="24">
        <f>COUNTIF('ZANGBA_Cleaned Data'!AOP:AOP,"local")</f>
        <v>0</v>
      </c>
      <c r="H66" s="24">
        <f>COUNTIF('ZANGBA_Cleaned Data'!AOQ:AOQ,"local")</f>
        <v>0</v>
      </c>
      <c r="I66" s="25">
        <f>SUM(C66:H66)</f>
        <v>1</v>
      </c>
    </row>
    <row r="67" spans="1:9" ht="37.5" x14ac:dyDescent="0.3">
      <c r="B67" s="121" t="s">
        <v>3319</v>
      </c>
      <c r="C67" s="39">
        <f>C66/$E$7</f>
        <v>0.33333333333333331</v>
      </c>
      <c r="D67" s="39">
        <f t="shared" ref="D67:H67" si="4">D66/$E$7</f>
        <v>0</v>
      </c>
      <c r="E67" s="39">
        <f t="shared" si="4"/>
        <v>0</v>
      </c>
      <c r="F67" s="39">
        <f t="shared" si="4"/>
        <v>0</v>
      </c>
      <c r="G67" s="39">
        <f t="shared" si="4"/>
        <v>0</v>
      </c>
      <c r="H67" s="39">
        <f t="shared" si="4"/>
        <v>0</v>
      </c>
      <c r="I67" s="128">
        <f>SUM(C67:H67)</f>
        <v>0.33333333333333331</v>
      </c>
    </row>
    <row r="68" spans="1:9" x14ac:dyDescent="0.3">
      <c r="B68" s="14"/>
      <c r="C68" s="14"/>
      <c r="D68" s="14"/>
      <c r="E68" s="14"/>
      <c r="F68" s="14"/>
      <c r="G68" s="14"/>
    </row>
    <row r="69" spans="1:9" x14ac:dyDescent="0.3">
      <c r="B69" s="18" t="s">
        <v>2000</v>
      </c>
    </row>
    <row r="70" spans="1:9" ht="28" x14ac:dyDescent="0.3">
      <c r="B70" s="24"/>
      <c r="C70" s="12" t="s">
        <v>2001</v>
      </c>
      <c r="D70" s="12" t="s">
        <v>2002</v>
      </c>
      <c r="E70" s="12" t="s">
        <v>2003</v>
      </c>
      <c r="F70" s="12" t="s">
        <v>1905</v>
      </c>
      <c r="G70" s="12" t="s">
        <v>1205</v>
      </c>
      <c r="H70" s="127" t="s">
        <v>1206</v>
      </c>
    </row>
    <row r="71" spans="1:9" x14ac:dyDescent="0.3">
      <c r="B71" s="24" t="s">
        <v>1207</v>
      </c>
      <c r="C71" s="24">
        <f>COUNTIF('ZANGBA_Cleaned Data'!AOJ:AOJ,"hebdo")</f>
        <v>1</v>
      </c>
      <c r="D71" s="24">
        <f>COUNTIF('ZANGBA_Cleaned Data'!AOJ:AOJ,"mensuel")</f>
        <v>1</v>
      </c>
      <c r="E71" s="24">
        <f>COUNTIF('ZANGBA_Cleaned Data'!AOJ:AOJ,"trimestriel")</f>
        <v>1</v>
      </c>
      <c r="F71" s="24">
        <f>COUNTIF('ZANGBA_Cleaned Data'!AOJ:AOJ,"nsp")</f>
        <v>0</v>
      </c>
      <c r="G71" s="24">
        <f>COUNTIF('ZANGBA_Cleaned Data'!AOJ:AOJ,"autre")</f>
        <v>0</v>
      </c>
      <c r="H71" s="25">
        <f>SUM(C71:G71)</f>
        <v>3</v>
      </c>
    </row>
    <row r="72" spans="1:9" ht="37.5" x14ac:dyDescent="0.3">
      <c r="B72" s="121" t="s">
        <v>3319</v>
      </c>
      <c r="C72" s="39">
        <f>C71/$E$7</f>
        <v>0.33333333333333331</v>
      </c>
      <c r="D72" s="39">
        <f t="shared" ref="D72:G72" si="5">D71/$E$7</f>
        <v>0.33333333333333331</v>
      </c>
      <c r="E72" s="39">
        <f t="shared" si="5"/>
        <v>0.33333333333333331</v>
      </c>
      <c r="F72" s="39">
        <f t="shared" si="5"/>
        <v>0</v>
      </c>
      <c r="G72" s="39">
        <f t="shared" si="5"/>
        <v>0</v>
      </c>
      <c r="H72" s="128">
        <f>SUM(C72:G72)</f>
        <v>1</v>
      </c>
    </row>
    <row r="73" spans="1:9" x14ac:dyDescent="0.3">
      <c r="B73" s="130"/>
      <c r="C73" s="15"/>
      <c r="D73" s="15"/>
      <c r="E73" s="15"/>
      <c r="F73" s="15"/>
      <c r="G73" s="74"/>
      <c r="H73" s="129"/>
    </row>
    <row r="74" spans="1:9" x14ac:dyDescent="0.3">
      <c r="F74" s="74"/>
    </row>
    <row r="75" spans="1:9" ht="15.5" x14ac:dyDescent="0.35">
      <c r="A75" s="29" t="s">
        <v>3324</v>
      </c>
      <c r="C75" s="103" t="s">
        <v>3245</v>
      </c>
    </row>
    <row r="76" spans="1:9" ht="70" x14ac:dyDescent="0.3">
      <c r="A76" s="24"/>
      <c r="B76" s="35" t="s">
        <v>1355</v>
      </c>
      <c r="C76" s="35" t="s">
        <v>1356</v>
      </c>
      <c r="D76" s="35" t="s">
        <v>1352</v>
      </c>
      <c r="E76" s="35" t="s">
        <v>1353</v>
      </c>
      <c r="F76" s="35" t="s">
        <v>1354</v>
      </c>
      <c r="G76" s="35" t="s">
        <v>1357</v>
      </c>
      <c r="H76" s="35" t="s">
        <v>1905</v>
      </c>
      <c r="I76" s="35" t="s">
        <v>1220</v>
      </c>
    </row>
    <row r="77" spans="1:9" x14ac:dyDescent="0.3">
      <c r="A77" s="24" t="s">
        <v>1207</v>
      </c>
      <c r="B77" s="24">
        <f>COUNTIF('ZANGBA_Cleaned Data'!AOP:AOP,"1")</f>
        <v>2</v>
      </c>
      <c r="C77" s="24">
        <f>COUNTIF('ZANGBA_Cleaned Data'!AOQ:AOQ,"1")</f>
        <v>2</v>
      </c>
      <c r="D77" s="24">
        <f>COUNTIF('ZANGBA_Cleaned Data'!AOR:AOR,"1")</f>
        <v>0</v>
      </c>
      <c r="E77" s="24">
        <f>COUNTIF('ZANGBA_Cleaned Data'!AOS:AOS,"1")</f>
        <v>0</v>
      </c>
      <c r="F77" s="24">
        <f>COUNTIF('ZANGBA_Cleaned Data'!AOT:AOT,"1")</f>
        <v>0</v>
      </c>
      <c r="G77" s="24">
        <f>COUNTIF('ZANGBA_Cleaned Data'!AOU:AOU,"1")</f>
        <v>0</v>
      </c>
      <c r="H77" s="24">
        <f>COUNTIF('ZANGBA_Cleaned Data'!AOV:AOV,"1")</f>
        <v>0</v>
      </c>
      <c r="I77" s="24">
        <f>COUNTIF('ZANGBA_Cleaned Data'!AOW:AOW,"1")</f>
        <v>0</v>
      </c>
    </row>
    <row r="78" spans="1:9" ht="26" x14ac:dyDescent="0.3">
      <c r="A78" s="121" t="s">
        <v>3319</v>
      </c>
      <c r="B78" s="39">
        <f>B77/$E$7</f>
        <v>0.66666666666666663</v>
      </c>
      <c r="C78" s="39">
        <f t="shared" ref="C78:I78" si="6">C77/$E$7</f>
        <v>0.66666666666666663</v>
      </c>
      <c r="D78" s="39">
        <f t="shared" si="6"/>
        <v>0</v>
      </c>
      <c r="E78" s="39">
        <f t="shared" si="6"/>
        <v>0</v>
      </c>
      <c r="F78" s="39">
        <f t="shared" si="6"/>
        <v>0</v>
      </c>
      <c r="G78" s="39">
        <f t="shared" si="6"/>
        <v>0</v>
      </c>
      <c r="H78" s="39">
        <f t="shared" si="6"/>
        <v>0</v>
      </c>
      <c r="I78" s="39">
        <f t="shared" si="6"/>
        <v>0</v>
      </c>
    </row>
    <row r="79" spans="1:9" x14ac:dyDescent="0.3">
      <c r="A79" s="130"/>
    </row>
    <row r="80" spans="1:9" x14ac:dyDescent="0.3">
      <c r="B80" s="18" t="s">
        <v>1358</v>
      </c>
    </row>
    <row r="81" spans="1:9" ht="42" x14ac:dyDescent="0.3">
      <c r="B81" s="24"/>
      <c r="C81" s="40" t="s">
        <v>1359</v>
      </c>
      <c r="D81" s="40" t="s">
        <v>1360</v>
      </c>
      <c r="E81" s="40" t="s">
        <v>1361</v>
      </c>
      <c r="F81" s="40" t="s">
        <v>1362</v>
      </c>
      <c r="G81" s="40" t="s">
        <v>1905</v>
      </c>
      <c r="H81" s="40" t="s">
        <v>1220</v>
      </c>
      <c r="I81" s="127" t="s">
        <v>1206</v>
      </c>
    </row>
    <row r="82" spans="1:9" x14ac:dyDescent="0.3">
      <c r="B82" s="24" t="s">
        <v>1207</v>
      </c>
      <c r="C82" s="24">
        <f>COUNTIF('ZANGBA_Cleaned Data'!APA:APA,"local")</f>
        <v>0</v>
      </c>
      <c r="D82" s="24">
        <f>COUNTIF('ZANGBA_Cleaned Data'!APA:APA,"proche")</f>
        <v>0</v>
      </c>
      <c r="E82" s="24">
        <f>COUNTIF('ZANGBA_Cleaned Data'!APA:APA,"bangui")</f>
        <v>2</v>
      </c>
      <c r="F82" s="24">
        <f>COUNTIF('ZANGBA_Cleaned Data'!APA:APA,"exterieur")</f>
        <v>1</v>
      </c>
      <c r="G82" s="24">
        <f>COUNTIF('ZANGBA_Cleaned Data'!APA:APA,"nsp")</f>
        <v>0</v>
      </c>
      <c r="H82" s="24">
        <f>COUNTIF('ZANGBA_Cleaned Data'!APA:APA,"autre")</f>
        <v>0</v>
      </c>
      <c r="I82" s="25">
        <f>SUM(C82:H82)</f>
        <v>3</v>
      </c>
    </row>
    <row r="83" spans="1:9" ht="37.5" x14ac:dyDescent="0.3">
      <c r="B83" s="121" t="s">
        <v>3319</v>
      </c>
      <c r="C83" s="39">
        <f>C82/$E$7</f>
        <v>0</v>
      </c>
      <c r="D83" s="39">
        <f t="shared" ref="D83:H83" si="7">D82/$E$7</f>
        <v>0</v>
      </c>
      <c r="E83" s="39">
        <f t="shared" si="7"/>
        <v>0.66666666666666663</v>
      </c>
      <c r="F83" s="39">
        <f t="shared" si="7"/>
        <v>0.33333333333333331</v>
      </c>
      <c r="G83" s="39">
        <f t="shared" si="7"/>
        <v>0</v>
      </c>
      <c r="H83" s="39">
        <f t="shared" si="7"/>
        <v>0</v>
      </c>
      <c r="I83" s="128">
        <f>SUM(C83:H83)</f>
        <v>1</v>
      </c>
    </row>
    <row r="84" spans="1:9" x14ac:dyDescent="0.3">
      <c r="H84" s="129"/>
    </row>
    <row r="85" spans="1:9" x14ac:dyDescent="0.3">
      <c r="B85" s="18" t="s">
        <v>2000</v>
      </c>
    </row>
    <row r="86" spans="1:9" ht="28" x14ac:dyDescent="0.3">
      <c r="B86" s="24"/>
      <c r="C86" s="40" t="s">
        <v>2001</v>
      </c>
      <c r="D86" s="40" t="s">
        <v>2002</v>
      </c>
      <c r="E86" s="40" t="s">
        <v>2003</v>
      </c>
      <c r="F86" s="40" t="s">
        <v>1905</v>
      </c>
      <c r="G86" s="40" t="s">
        <v>1220</v>
      </c>
      <c r="H86" s="127" t="s">
        <v>1206</v>
      </c>
    </row>
    <row r="87" spans="1:9" x14ac:dyDescent="0.3">
      <c r="B87" s="24" t="s">
        <v>1207</v>
      </c>
      <c r="C87" s="24">
        <f>COUNTIF('ZANGBA_Cleaned Data'!AOY:AOY,"hebdo")</f>
        <v>1</v>
      </c>
      <c r="D87" s="24">
        <f>COUNTIF('ZANGBA_Cleaned Data'!AOY:AOY,"mensuel")</f>
        <v>1</v>
      </c>
      <c r="E87" s="24">
        <f>COUNTIF('ZANGBA_Cleaned Data'!AOY:AOY,"trimestriel")</f>
        <v>1</v>
      </c>
      <c r="F87" s="24">
        <f>COUNTIF('ZANGBA_Cleaned Data'!AOY:AOY,"nsp")</f>
        <v>0</v>
      </c>
      <c r="G87" s="24">
        <f>COUNTIF('ZANGBA_Cleaned Data'!AOY:AOY,"autre")</f>
        <v>0</v>
      </c>
      <c r="H87" s="25">
        <f>SUM(C87:G87)</f>
        <v>3</v>
      </c>
    </row>
    <row r="88" spans="1:9" ht="37.5" x14ac:dyDescent="0.3">
      <c r="B88" s="121" t="s">
        <v>3319</v>
      </c>
      <c r="C88" s="39">
        <f>C87/$E$7</f>
        <v>0.33333333333333331</v>
      </c>
      <c r="D88" s="39">
        <f t="shared" ref="D88:G88" si="8">D87/$E$7</f>
        <v>0.33333333333333331</v>
      </c>
      <c r="E88" s="39">
        <f t="shared" si="8"/>
        <v>0.33333333333333331</v>
      </c>
      <c r="F88" s="39">
        <f t="shared" si="8"/>
        <v>0</v>
      </c>
      <c r="G88" s="39">
        <f t="shared" si="8"/>
        <v>0</v>
      </c>
      <c r="H88" s="128">
        <f>SUM(C88:G88)</f>
        <v>1</v>
      </c>
    </row>
    <row r="89" spans="1:9" x14ac:dyDescent="0.3">
      <c r="F89" s="74"/>
      <c r="G89" s="74"/>
    </row>
    <row r="90" spans="1:9" ht="15.5" x14ac:dyDescent="0.35">
      <c r="A90" s="9" t="s">
        <v>1363</v>
      </c>
    </row>
    <row r="91" spans="1:9" x14ac:dyDescent="0.3">
      <c r="A91" s="18" t="s">
        <v>2005</v>
      </c>
    </row>
    <row r="92" spans="1:9" x14ac:dyDescent="0.3">
      <c r="A92" s="24"/>
      <c r="B92" s="8" t="s">
        <v>1210</v>
      </c>
      <c r="C92" s="8" t="s">
        <v>1209</v>
      </c>
      <c r="D92" s="127" t="s">
        <v>1206</v>
      </c>
    </row>
    <row r="93" spans="1:9" x14ac:dyDescent="0.3">
      <c r="A93" s="24" t="s">
        <v>1207</v>
      </c>
      <c r="B93" s="24">
        <f>COUNTIF('ZANGBA_Cleaned Data'!APF:APF,"oui")</f>
        <v>3</v>
      </c>
      <c r="C93" s="24">
        <f>COUNTIF('ZANGBA_Cleaned Data'!APF:APF,"non")</f>
        <v>0</v>
      </c>
      <c r="D93" s="25">
        <f>SUM(B93:C93)</f>
        <v>3</v>
      </c>
    </row>
    <row r="94" spans="1:9" ht="26" x14ac:dyDescent="0.3">
      <c r="A94" s="121" t="s">
        <v>3319</v>
      </c>
      <c r="B94" s="39">
        <f>(B93/$E$7)</f>
        <v>1</v>
      </c>
      <c r="C94" s="39">
        <f>(C93/$E$7)</f>
        <v>0</v>
      </c>
      <c r="D94" s="128">
        <f>SUM(B94:C94)</f>
        <v>1</v>
      </c>
    </row>
    <row r="96" spans="1:9" x14ac:dyDescent="0.3">
      <c r="B96" s="18" t="s">
        <v>2006</v>
      </c>
    </row>
    <row r="97" spans="1:9" ht="28" x14ac:dyDescent="0.3">
      <c r="B97" s="24"/>
      <c r="C97" s="11" t="s">
        <v>1307</v>
      </c>
      <c r="D97" s="11" t="s">
        <v>1308</v>
      </c>
      <c r="E97" s="11" t="s">
        <v>1309</v>
      </c>
      <c r="F97" s="11" t="s">
        <v>1225</v>
      </c>
      <c r="G97" s="127" t="s">
        <v>1206</v>
      </c>
    </row>
    <row r="98" spans="1:9" x14ac:dyDescent="0.3">
      <c r="B98" s="24" t="s">
        <v>1207</v>
      </c>
      <c r="C98" s="24">
        <f>COUNTIF('ZANGBA_Cleaned Data'!APG:APG,"peu_diminue")</f>
        <v>2</v>
      </c>
      <c r="D98" s="24">
        <f>COUNTIF('ZANGBA_Cleaned Data'!APG:APG,"bcp_diminue")</f>
        <v>0</v>
      </c>
      <c r="E98" s="24">
        <f>COUNTIF('ZANGBA_Cleaned Data'!APG:APG,"peu_augmente")</f>
        <v>1</v>
      </c>
      <c r="F98" s="24">
        <f>COUNTIF('ZANGBA_Cleaned Data'!APG:APG,"bcp_augmente")</f>
        <v>0</v>
      </c>
      <c r="G98" s="25">
        <f>SUM(C98:F98)</f>
        <v>3</v>
      </c>
    </row>
    <row r="99" spans="1:9" ht="37.5" x14ac:dyDescent="0.3">
      <c r="B99" s="121" t="s">
        <v>3325</v>
      </c>
      <c r="C99" s="39">
        <f>C98/$B$93</f>
        <v>0.66666666666666663</v>
      </c>
      <c r="D99" s="39">
        <f t="shared" ref="D99:F99" si="9">D98/$B$93</f>
        <v>0</v>
      </c>
      <c r="E99" s="39">
        <f t="shared" si="9"/>
        <v>0.33333333333333331</v>
      </c>
      <c r="F99" s="39">
        <f t="shared" si="9"/>
        <v>0</v>
      </c>
      <c r="G99" s="128">
        <f>SUM(C99:F99)</f>
        <v>1</v>
      </c>
    </row>
    <row r="100" spans="1:9" x14ac:dyDescent="0.3">
      <c r="B100" s="14"/>
    </row>
    <row r="101" spans="1:9" x14ac:dyDescent="0.3">
      <c r="B101" s="18" t="s">
        <v>1310</v>
      </c>
      <c r="D101" s="103" t="s">
        <v>3245</v>
      </c>
    </row>
    <row r="102" spans="1:9" ht="70" x14ac:dyDescent="0.3">
      <c r="B102" s="24"/>
      <c r="C102" s="11" t="s">
        <v>1315</v>
      </c>
      <c r="D102" s="11" t="s">
        <v>1364</v>
      </c>
      <c r="E102" s="11" t="s">
        <v>1365</v>
      </c>
      <c r="F102" s="11" t="s">
        <v>1366</v>
      </c>
      <c r="G102" s="11" t="s">
        <v>1367</v>
      </c>
      <c r="H102" s="11" t="s">
        <v>1905</v>
      </c>
      <c r="I102" s="11" t="s">
        <v>1220</v>
      </c>
    </row>
    <row r="103" spans="1:9" x14ac:dyDescent="0.3">
      <c r="B103" s="24" t="s">
        <v>1207</v>
      </c>
      <c r="C103" s="24">
        <f>COUNTIF('ZANGBA_Cleaned Data'!APR:APR,"1")</f>
        <v>2</v>
      </c>
      <c r="D103" s="24">
        <f>COUNTIF('ZANGBA_Cleaned Data'!APS:APS,"1")</f>
        <v>0</v>
      </c>
      <c r="E103" s="24">
        <f>COUNTIF('ZANGBA_Cleaned Data'!APT:APT,"1")</f>
        <v>0</v>
      </c>
      <c r="F103" s="24">
        <f>COUNTIF('ZANGBA_Cleaned Data'!APU:APU,"1")</f>
        <v>1</v>
      </c>
      <c r="G103" s="24">
        <f>COUNTIF('ZANGBA_Cleaned Data'!APV:APV,"1")</f>
        <v>0</v>
      </c>
      <c r="H103" s="24">
        <f>COUNTIF('ZANGBA_Cleaned Data'!APW:APW,"1")</f>
        <v>0</v>
      </c>
      <c r="I103" s="24">
        <f>COUNTIF('ZANGBA_Cleaned Data'!APX:APX,"1")</f>
        <v>0</v>
      </c>
    </row>
    <row r="104" spans="1:9" ht="42" customHeight="1" x14ac:dyDescent="0.3">
      <c r="B104" s="121" t="s">
        <v>3326</v>
      </c>
      <c r="C104" s="39">
        <f>D103/($C$98+$D$98)</f>
        <v>0</v>
      </c>
      <c r="D104" s="39">
        <f t="shared" ref="D104:I104" si="10">E103/($C$98+$D$98)</f>
        <v>0</v>
      </c>
      <c r="E104" s="39">
        <f t="shared" si="10"/>
        <v>0.5</v>
      </c>
      <c r="F104" s="39">
        <f t="shared" si="10"/>
        <v>0</v>
      </c>
      <c r="G104" s="39">
        <f t="shared" si="10"/>
        <v>0</v>
      </c>
      <c r="H104" s="39">
        <f t="shared" si="10"/>
        <v>0</v>
      </c>
      <c r="I104" s="39">
        <f t="shared" si="10"/>
        <v>0</v>
      </c>
    </row>
    <row r="106" spans="1:9" x14ac:dyDescent="0.3">
      <c r="B106" s="18" t="s">
        <v>1227</v>
      </c>
      <c r="D106" s="103" t="s">
        <v>3245</v>
      </c>
    </row>
    <row r="107" spans="1:9" ht="56" x14ac:dyDescent="0.3">
      <c r="B107" s="24"/>
      <c r="C107" s="11" t="s">
        <v>1311</v>
      </c>
      <c r="D107" s="11" t="s">
        <v>1312</v>
      </c>
      <c r="E107" s="11" t="s">
        <v>2324</v>
      </c>
      <c r="F107" s="11" t="s">
        <v>2325</v>
      </c>
      <c r="G107" s="11" t="s">
        <v>2326</v>
      </c>
      <c r="H107" s="11" t="s">
        <v>1905</v>
      </c>
      <c r="I107" s="11" t="s">
        <v>1205</v>
      </c>
    </row>
    <row r="108" spans="1:9" x14ac:dyDescent="0.3">
      <c r="B108" s="24" t="s">
        <v>1207</v>
      </c>
      <c r="C108" s="24">
        <f>COUNTIF('ZANGBA_Cleaned Data'!API:API,"1")</f>
        <v>1</v>
      </c>
      <c r="D108" s="24">
        <f>COUNTIF('ZANGBA_Cleaned Data'!APJ:APJ,"1")</f>
        <v>0</v>
      </c>
      <c r="E108" s="24">
        <f>COUNTIF('ZANGBA_Cleaned Data'!APK:APK,"1")</f>
        <v>0</v>
      </c>
      <c r="F108" s="24">
        <f>COUNTIF('ZANGBA_Cleaned Data'!APL:APL,"1")</f>
        <v>0</v>
      </c>
      <c r="G108" s="24">
        <f>COUNTIF('ZANGBA_Cleaned Data'!APM:APM,"1")</f>
        <v>0</v>
      </c>
      <c r="H108" s="24">
        <f>COUNTIF('ZANGBA_Cleaned Data'!APN:APN,"1")</f>
        <v>0</v>
      </c>
      <c r="I108" s="24">
        <f>COUNTIF('ZANGBA_Cleaned Data'!APO:APO,"1")</f>
        <v>0</v>
      </c>
    </row>
    <row r="109" spans="1:9" ht="49" x14ac:dyDescent="0.3">
      <c r="B109" s="121" t="s">
        <v>3327</v>
      </c>
      <c r="C109" s="39">
        <f>C108/($E$98+$F$98)</f>
        <v>1</v>
      </c>
      <c r="D109" s="39">
        <f t="shared" ref="D109:I109" si="11">D108/($E$98+$F$98)</f>
        <v>0</v>
      </c>
      <c r="E109" s="39">
        <f t="shared" si="11"/>
        <v>0</v>
      </c>
      <c r="F109" s="39">
        <f t="shared" si="11"/>
        <v>0</v>
      </c>
      <c r="G109" s="39">
        <f t="shared" si="11"/>
        <v>0</v>
      </c>
      <c r="H109" s="39">
        <f t="shared" si="11"/>
        <v>0</v>
      </c>
      <c r="I109" s="39">
        <f t="shared" si="11"/>
        <v>0</v>
      </c>
    </row>
    <row r="110" spans="1:9" x14ac:dyDescent="0.3">
      <c r="B110" s="14"/>
      <c r="C110" s="15"/>
      <c r="D110" s="15"/>
      <c r="E110" s="15"/>
      <c r="F110" s="15"/>
      <c r="G110" s="15"/>
      <c r="H110" s="15"/>
      <c r="I110" s="15"/>
    </row>
    <row r="111" spans="1:9" ht="15.5" x14ac:dyDescent="0.35">
      <c r="A111" s="9" t="s">
        <v>1368</v>
      </c>
    </row>
    <row r="112" spans="1:9" x14ac:dyDescent="0.3">
      <c r="A112" s="18" t="s">
        <v>2007</v>
      </c>
      <c r="B112" s="103" t="s">
        <v>3245</v>
      </c>
    </row>
    <row r="113" spans="1:8" s="36" customFormat="1" ht="42" x14ac:dyDescent="0.35">
      <c r="A113" s="75"/>
      <c r="B113" s="35" t="s">
        <v>2008</v>
      </c>
      <c r="C113" s="35" t="s">
        <v>2009</v>
      </c>
      <c r="D113" s="35" t="s">
        <v>2010</v>
      </c>
      <c r="E113" s="35" t="s">
        <v>2011</v>
      </c>
      <c r="F113" s="35" t="s">
        <v>3259</v>
      </c>
      <c r="G113" s="35" t="s">
        <v>1205</v>
      </c>
    </row>
    <row r="114" spans="1:8" x14ac:dyDescent="0.3">
      <c r="A114" s="24" t="s">
        <v>1207</v>
      </c>
      <c r="B114" s="24">
        <f>COUNTIF('ZANGBA_Cleaned Data'!AQA:AQA,"1")</f>
        <v>2</v>
      </c>
      <c r="C114" s="24">
        <f>COUNTIF('ZANGBA_Cleaned Data'!AQB:AQB,"1")</f>
        <v>1</v>
      </c>
      <c r="D114" s="24">
        <f>COUNTIF('ZANGBA_Cleaned Data'!AQC:AQC,"1")</f>
        <v>0</v>
      </c>
      <c r="E114" s="24">
        <f>COUNTIF('ZANGBA_Cleaned Data'!AQD:AQD,"1")</f>
        <v>0</v>
      </c>
      <c r="F114" s="24">
        <f>COUNTIF('ZANGBA_Cleaned Data'!AQE:AQE,"1")</f>
        <v>0</v>
      </c>
      <c r="G114" s="24">
        <f>COUNTIF('ZANGBA_Cleaned Data'!AQF:AQF,"1")</f>
        <v>0</v>
      </c>
    </row>
    <row r="115" spans="1:8" ht="26" x14ac:dyDescent="0.3">
      <c r="A115" s="121" t="s">
        <v>3319</v>
      </c>
      <c r="B115" s="39">
        <f>(B114/$E$7)</f>
        <v>0.66666666666666663</v>
      </c>
      <c r="C115" s="39">
        <f t="shared" ref="C115:G115" si="12">(C114/$E$7)</f>
        <v>0.33333333333333331</v>
      </c>
      <c r="D115" s="39">
        <f t="shared" si="12"/>
        <v>0</v>
      </c>
      <c r="E115" s="39">
        <f t="shared" si="12"/>
        <v>0</v>
      </c>
      <c r="F115" s="39">
        <f t="shared" si="12"/>
        <v>0</v>
      </c>
      <c r="G115" s="39">
        <f t="shared" si="12"/>
        <v>0</v>
      </c>
    </row>
    <row r="116" spans="1:8" x14ac:dyDescent="0.3">
      <c r="B116" s="74" t="s">
        <v>2329</v>
      </c>
      <c r="C116" s="74"/>
      <c r="G116" s="74"/>
    </row>
    <row r="117" spans="1:8" x14ac:dyDescent="0.3">
      <c r="B117" s="74"/>
    </row>
    <row r="118" spans="1:8" x14ac:dyDescent="0.3">
      <c r="B118" s="18" t="s">
        <v>2012</v>
      </c>
    </row>
    <row r="119" spans="1:8" x14ac:dyDescent="0.3">
      <c r="B119" s="19">
        <f>AVERAGE('ZANGBA_Cleaned Data'!AQN:AQN)</f>
        <v>35000</v>
      </c>
      <c r="C119" s="21" t="s">
        <v>3241</v>
      </c>
      <c r="D119" s="74"/>
    </row>
    <row r="121" spans="1:8" x14ac:dyDescent="0.3">
      <c r="B121" s="18" t="s">
        <v>2016</v>
      </c>
    </row>
    <row r="122" spans="1:8" x14ac:dyDescent="0.3">
      <c r="B122" s="92">
        <f>AVERAGE('ZANGBA_Cleaned Data'!AQI:AQI)</f>
        <v>15000</v>
      </c>
      <c r="C122" s="21" t="s">
        <v>1243</v>
      </c>
      <c r="D122" s="74"/>
    </row>
    <row r="124" spans="1:8" x14ac:dyDescent="0.3">
      <c r="A124" s="14"/>
      <c r="B124" s="15"/>
      <c r="C124" s="15"/>
    </row>
    <row r="125" spans="1:8" ht="15.5" x14ac:dyDescent="0.35">
      <c r="A125" s="9" t="s">
        <v>1293</v>
      </c>
    </row>
    <row r="126" spans="1:8" x14ac:dyDescent="0.3">
      <c r="A126" s="18" t="s">
        <v>1370</v>
      </c>
      <c r="C126" s="103" t="s">
        <v>3245</v>
      </c>
    </row>
    <row r="127" spans="1:8" s="36" customFormat="1" ht="58.5" customHeight="1" x14ac:dyDescent="0.3">
      <c r="A127" s="24"/>
      <c r="B127" s="35" t="s">
        <v>1369</v>
      </c>
      <c r="C127" s="35" t="s">
        <v>1374</v>
      </c>
      <c r="D127" s="35" t="s">
        <v>1371</v>
      </c>
      <c r="E127" s="35" t="s">
        <v>1372</v>
      </c>
      <c r="F127" s="35" t="s">
        <v>1373</v>
      </c>
      <c r="G127" s="35" t="s">
        <v>3259</v>
      </c>
      <c r="H127" s="35" t="s">
        <v>1220</v>
      </c>
    </row>
    <row r="128" spans="1:8" x14ac:dyDescent="0.3">
      <c r="A128" s="24" t="s">
        <v>1207</v>
      </c>
      <c r="B128" s="24">
        <f>COUNTIF('ZANGBA_Cleaned Data'!ARV:ARV,"1")</f>
        <v>3</v>
      </c>
      <c r="C128" s="24">
        <f>COUNTIF('ZANGBA_Cleaned Data'!ARW:ARW,"1")</f>
        <v>0</v>
      </c>
      <c r="D128" s="24">
        <f>COUNTIF('ZANGBA_Cleaned Data'!ARX:ARX,"1")</f>
        <v>0</v>
      </c>
      <c r="E128" s="24">
        <f>COUNTIF('ZANGBA_Cleaned Data'!ARY:ARY,"1")</f>
        <v>0</v>
      </c>
      <c r="F128" s="24">
        <f>COUNTIF('ZANGBA_Cleaned Data'!ARZ:ARZ,"1")</f>
        <v>0</v>
      </c>
      <c r="G128" s="24">
        <f>COUNTIF('ZANGBA_Cleaned Data'!ASA:ASA,"1")</f>
        <v>0</v>
      </c>
      <c r="H128" s="24">
        <f>COUNTIF('ZANGBA_Cleaned Data'!ASB:ASB,"1")</f>
        <v>0</v>
      </c>
    </row>
    <row r="129" spans="1:16" ht="26" x14ac:dyDescent="0.3">
      <c r="A129" s="121" t="s">
        <v>3316</v>
      </c>
      <c r="B129" s="39">
        <f>B128/$B$3</f>
        <v>1</v>
      </c>
      <c r="C129" s="39">
        <f t="shared" ref="C129:H129" si="13">C128/$B$3</f>
        <v>0</v>
      </c>
      <c r="D129" s="39">
        <f t="shared" si="13"/>
        <v>0</v>
      </c>
      <c r="E129" s="39">
        <f t="shared" si="13"/>
        <v>0</v>
      </c>
      <c r="F129" s="39">
        <f t="shared" si="13"/>
        <v>0</v>
      </c>
      <c r="G129" s="39">
        <f t="shared" si="13"/>
        <v>0</v>
      </c>
      <c r="H129" s="39">
        <f t="shared" si="13"/>
        <v>0</v>
      </c>
    </row>
    <row r="130" spans="1:16" x14ac:dyDescent="0.3">
      <c r="A130" s="14"/>
      <c r="H130" s="74"/>
    </row>
    <row r="131" spans="1:16" x14ac:dyDescent="0.3">
      <c r="A131" s="18" t="s">
        <v>1375</v>
      </c>
    </row>
    <row r="132" spans="1:16" x14ac:dyDescent="0.3">
      <c r="A132" s="24"/>
      <c r="B132" s="8" t="s">
        <v>1210</v>
      </c>
      <c r="C132" s="8" t="s">
        <v>1209</v>
      </c>
      <c r="D132" s="127" t="s">
        <v>1206</v>
      </c>
    </row>
    <row r="133" spans="1:16" x14ac:dyDescent="0.3">
      <c r="A133" s="24" t="s">
        <v>1207</v>
      </c>
      <c r="B133" s="24">
        <f>COUNTIF('ZANGBA_Cleaned Data'!ASD:ASD,"oui")</f>
        <v>0</v>
      </c>
      <c r="C133" s="24">
        <f>COUNTIF('ZANGBA_Cleaned Data'!ASD:ASD,"non")</f>
        <v>3</v>
      </c>
      <c r="D133" s="25">
        <f>SUM(B133:C133)</f>
        <v>3</v>
      </c>
    </row>
    <row r="134" spans="1:16" ht="26" x14ac:dyDescent="0.3">
      <c r="A134" s="121" t="s">
        <v>3319</v>
      </c>
      <c r="B134" s="39">
        <f>(B133/$E$7)</f>
        <v>0</v>
      </c>
      <c r="C134" s="39">
        <f>(C133/$E$7)</f>
        <v>1</v>
      </c>
      <c r="D134" s="128">
        <f>SUM(B134:C134)</f>
        <v>1</v>
      </c>
    </row>
    <row r="136" spans="1:16" x14ac:dyDescent="0.3">
      <c r="A136" s="18" t="s">
        <v>1331</v>
      </c>
      <c r="C136" s="103" t="s">
        <v>3245</v>
      </c>
    </row>
    <row r="137" spans="1:16" x14ac:dyDescent="0.3">
      <c r="A137" s="24"/>
      <c r="B137" s="8" t="s">
        <v>1250</v>
      </c>
      <c r="C137" s="8" t="s">
        <v>1251</v>
      </c>
      <c r="D137" s="8" t="s">
        <v>1905</v>
      </c>
      <c r="E137" s="8" t="s">
        <v>1205</v>
      </c>
      <c r="F137" s="8" t="s">
        <v>1252</v>
      </c>
    </row>
    <row r="138" spans="1:16" x14ac:dyDescent="0.3">
      <c r="A138" s="24" t="s">
        <v>1207</v>
      </c>
      <c r="B138" s="3">
        <f>COUNTIF('ZANGBA_Cleaned Data'!ASO:ASO,"1")</f>
        <v>1</v>
      </c>
      <c r="C138" s="3">
        <f>COUNTIF('ZANGBA_Cleaned Data'!ASP:ASP,"1")</f>
        <v>0</v>
      </c>
      <c r="D138" s="3">
        <f>COUNTIF('ZANGBA_Cleaned Data'!ASQ:ASQ,"1")</f>
        <v>1</v>
      </c>
      <c r="E138" s="3">
        <f>COUNTIF('ZANGBA_Cleaned Data'!ASR:ASR,"1")</f>
        <v>0</v>
      </c>
      <c r="F138" s="3">
        <f>COUNTIF('ZANGBA_Cleaned Data'!ASS:ASS,"1")</f>
        <v>1</v>
      </c>
    </row>
    <row r="139" spans="1:16" ht="26" x14ac:dyDescent="0.3">
      <c r="A139" s="121" t="s">
        <v>3316</v>
      </c>
      <c r="B139" s="39">
        <f>B138/$B$3</f>
        <v>0.33333333333333331</v>
      </c>
      <c r="C139" s="39">
        <f t="shared" ref="C139:F139" si="14">C138/$B$3</f>
        <v>0</v>
      </c>
      <c r="D139" s="39">
        <f t="shared" si="14"/>
        <v>0.33333333333333331</v>
      </c>
      <c r="E139" s="39">
        <f t="shared" si="14"/>
        <v>0</v>
      </c>
      <c r="F139" s="39">
        <f t="shared" si="14"/>
        <v>0.33333333333333331</v>
      </c>
    </row>
    <row r="140" spans="1:16" x14ac:dyDescent="0.3">
      <c r="A140" s="14"/>
    </row>
    <row r="141" spans="1:16" ht="15.5" x14ac:dyDescent="0.35">
      <c r="A141" s="29" t="s">
        <v>1299</v>
      </c>
      <c r="C141" s="103" t="s">
        <v>3245</v>
      </c>
    </row>
    <row r="142" spans="1:16" s="36" customFormat="1" ht="70" x14ac:dyDescent="0.35">
      <c r="A142" s="35" t="s">
        <v>1475</v>
      </c>
      <c r="B142" s="35" t="s">
        <v>2019</v>
      </c>
      <c r="C142" s="35" t="s">
        <v>1376</v>
      </c>
      <c r="D142" s="35" t="s">
        <v>2023</v>
      </c>
      <c r="E142" s="35" t="s">
        <v>2024</v>
      </c>
      <c r="F142" s="35" t="s">
        <v>2020</v>
      </c>
      <c r="G142" s="35" t="s">
        <v>1377</v>
      </c>
      <c r="H142" s="35" t="s">
        <v>1378</v>
      </c>
      <c r="I142" s="35" t="s">
        <v>1379</v>
      </c>
      <c r="J142" s="35" t="s">
        <v>2021</v>
      </c>
      <c r="K142" s="35" t="s">
        <v>2022</v>
      </c>
      <c r="L142" s="35" t="s">
        <v>1380</v>
      </c>
      <c r="M142" s="35" t="s">
        <v>2025</v>
      </c>
      <c r="N142" s="35" t="s">
        <v>1381</v>
      </c>
      <c r="O142" s="35" t="s">
        <v>1905</v>
      </c>
      <c r="P142" s="35" t="s">
        <v>1205</v>
      </c>
    </row>
    <row r="143" spans="1:16" x14ac:dyDescent="0.3">
      <c r="A143" s="3">
        <f>COUNTIF('ZANGBA_Cleaned Data'!ATK:ATK,"1")</f>
        <v>1</v>
      </c>
      <c r="B143" s="3">
        <f>COUNTIF('ZANGBA_Cleaned Data'!ATL:ATL,"1")</f>
        <v>1</v>
      </c>
      <c r="C143" s="3">
        <f>COUNTIF('ZANGBA_Cleaned Data'!ATM:ATM,"1")</f>
        <v>2</v>
      </c>
      <c r="D143" s="3">
        <f>COUNTIF('ZANGBA_Cleaned Data'!ATN:ATN,"1")</f>
        <v>1</v>
      </c>
      <c r="E143" s="3">
        <f>COUNTIF('ZANGBA_Cleaned Data'!ATO:ATO,"1")</f>
        <v>2</v>
      </c>
      <c r="F143" s="3">
        <f>COUNTIF('ZANGBA_Cleaned Data'!ATX:ATX,"1")</f>
        <v>2</v>
      </c>
      <c r="G143" s="3">
        <f>COUNTIF('ZANGBA_Cleaned Data'!ATP:ATP,"1")</f>
        <v>0</v>
      </c>
      <c r="H143" s="3">
        <f>COUNTIF('ZANGBA_Cleaned Data'!ATQ:ATQ,"1")</f>
        <v>0</v>
      </c>
      <c r="I143" s="3">
        <f>COUNTIF('ZANGBA_Cleaned Data'!ATR:ATR,"1")</f>
        <v>0</v>
      </c>
      <c r="J143" s="3">
        <f>COUNTIF('ZANGBA_Cleaned Data'!ATS:ATS,"1")</f>
        <v>1</v>
      </c>
      <c r="K143" s="3">
        <f>COUNTIF('ZANGBA_Cleaned Data'!ATU:ATU,"1")</f>
        <v>1</v>
      </c>
      <c r="L143" s="3">
        <f>COUNTIF('ZANGBA_Cleaned Data'!ATV:ATV,"1")</f>
        <v>1</v>
      </c>
      <c r="M143" s="3">
        <f>COUNTIF('ZANGBA_Cleaned Data'!ATW:ATW,"1")</f>
        <v>0</v>
      </c>
      <c r="N143" s="3">
        <f>COUNTIF('ZANGBA_Cleaned Data'!ATY:ATY,"1")</f>
        <v>0</v>
      </c>
      <c r="O143" s="3">
        <f>COUNTIF('ZANGBA_Cleaned Data'!ATZ:ATZ,"1")</f>
        <v>0</v>
      </c>
      <c r="P143" s="3">
        <f>COUNTIF('ZANGBA_Cleaned Data'!AUA:AUA,"1")</f>
        <v>0</v>
      </c>
    </row>
    <row r="144" spans="1:16" x14ac:dyDescent="0.3">
      <c r="A144" s="14"/>
      <c r="B144" s="14"/>
      <c r="C144" s="14"/>
      <c r="D144" s="14"/>
      <c r="E144" s="14"/>
      <c r="F144" s="14"/>
      <c r="G144" s="14"/>
      <c r="H144" s="14"/>
      <c r="I144" s="14"/>
      <c r="J144" s="14"/>
      <c r="K144" s="14"/>
      <c r="L144" s="14"/>
      <c r="M144" s="14"/>
      <c r="N144" s="14"/>
      <c r="O144" s="14"/>
      <c r="P144" s="76"/>
    </row>
    <row r="145" spans="1:13" ht="15.5" x14ac:dyDescent="0.35">
      <c r="A145" s="29" t="s">
        <v>1300</v>
      </c>
      <c r="C145" s="103" t="s">
        <v>3245</v>
      </c>
    </row>
    <row r="146" spans="1:13" ht="28" x14ac:dyDescent="0.3">
      <c r="A146" s="8" t="s">
        <v>1236</v>
      </c>
      <c r="B146" s="8" t="s">
        <v>1256</v>
      </c>
      <c r="C146" s="8" t="s">
        <v>1257</v>
      </c>
      <c r="D146" s="8" t="s">
        <v>1239</v>
      </c>
      <c r="E146" s="8" t="s">
        <v>1240</v>
      </c>
      <c r="F146" s="8" t="s">
        <v>1258</v>
      </c>
      <c r="G146" s="8" t="s">
        <v>1259</v>
      </c>
      <c r="H146" s="8" t="s">
        <v>1260</v>
      </c>
      <c r="I146" s="8" t="s">
        <v>1261</v>
      </c>
      <c r="J146" s="8" t="s">
        <v>1252</v>
      </c>
      <c r="K146" s="8" t="s">
        <v>3259</v>
      </c>
      <c r="L146" s="8" t="s">
        <v>1220</v>
      </c>
    </row>
    <row r="147" spans="1:13" x14ac:dyDescent="0.3">
      <c r="A147" s="24">
        <f>COUNTIF('ZANGBA_Cleaned Data'!ASV:ASV,"1")</f>
        <v>3</v>
      </c>
      <c r="B147" s="24">
        <f>COUNTIF('ZANGBA_Cleaned Data'!ASW:ASW,"1")</f>
        <v>1</v>
      </c>
      <c r="C147" s="24">
        <f>COUNTIF('ZANGBA_Cleaned Data'!ASX:ASX,"1")</f>
        <v>0</v>
      </c>
      <c r="D147" s="24">
        <f>COUNTIF('ZANGBA_Cleaned Data'!ASY:ASY,"1")</f>
        <v>0</v>
      </c>
      <c r="E147" s="24">
        <f>COUNTIF('ZANGBA_Cleaned Data'!ASZ:ASZ,"1")</f>
        <v>0</v>
      </c>
      <c r="F147" s="24">
        <f>COUNTIF('ZANGBA_Cleaned Data'!ATA:ATA,"1")</f>
        <v>1</v>
      </c>
      <c r="G147" s="24">
        <f>COUNTIF('ZANGBA_Cleaned Data'!ATB:ATB,"1")</f>
        <v>1</v>
      </c>
      <c r="H147" s="24">
        <f>COUNTIF('ZANGBA_Cleaned Data'!ATC:ATC,"1")</f>
        <v>1</v>
      </c>
      <c r="I147" s="24">
        <f>COUNTIF('ZANGBA_Cleaned Data'!ATD:ATD,"1")</f>
        <v>0</v>
      </c>
      <c r="J147" s="24">
        <f>COUNTIF('ZANGBA_Cleaned Data'!ATE:ATE,"1")</f>
        <v>0</v>
      </c>
      <c r="K147" s="24">
        <f>COUNTIF('ZANGBA_Cleaned Data'!ATF:ATF,"1")</f>
        <v>0</v>
      </c>
      <c r="L147" s="24">
        <f>COUNTIF('ZANGBA_Cleaned Data'!ATG:ATG,"1")</f>
        <v>0</v>
      </c>
    </row>
    <row r="149" spans="1:13" ht="15.5" x14ac:dyDescent="0.35">
      <c r="A149" s="29" t="s">
        <v>1334</v>
      </c>
    </row>
    <row r="150" spans="1:13" x14ac:dyDescent="0.3">
      <c r="A150" s="3"/>
      <c r="B150" s="8" t="s">
        <v>1210</v>
      </c>
      <c r="C150" s="8" t="s">
        <v>1209</v>
      </c>
      <c r="D150" s="127" t="s">
        <v>1206</v>
      </c>
    </row>
    <row r="151" spans="1:13" x14ac:dyDescent="0.3">
      <c r="A151" s="3" t="s">
        <v>1207</v>
      </c>
      <c r="B151" s="24">
        <f>COUNTIF('ZANGBA_Cleaned Data'!AUC:AUC,"OUI")</f>
        <v>0</v>
      </c>
      <c r="C151" s="24">
        <f>COUNTIF('ZANGBA_Cleaned Data'!AUC:AUC,"non")</f>
        <v>3</v>
      </c>
      <c r="D151" s="25">
        <f>SUM(B151:C151)</f>
        <v>3</v>
      </c>
    </row>
    <row r="152" spans="1:13" ht="26" x14ac:dyDescent="0.3">
      <c r="A152" s="121" t="s">
        <v>3316</v>
      </c>
      <c r="B152" s="7">
        <f>(B151/$B$3)</f>
        <v>0</v>
      </c>
      <c r="C152" s="7">
        <f>(C151/$B$3)</f>
        <v>1</v>
      </c>
      <c r="D152" s="128">
        <f>SUM(B152:C152)</f>
        <v>1</v>
      </c>
    </row>
    <row r="153" spans="1:13" x14ac:dyDescent="0.3">
      <c r="A153" s="130"/>
      <c r="B153" s="15"/>
      <c r="C153" s="15"/>
      <c r="D153" s="129"/>
    </row>
    <row r="154" spans="1:13" ht="15.5" x14ac:dyDescent="0.35">
      <c r="A154" s="9" t="s">
        <v>1301</v>
      </c>
      <c r="C154" s="103" t="s">
        <v>3245</v>
      </c>
    </row>
    <row r="155" spans="1:13" ht="56" x14ac:dyDescent="0.35">
      <c r="A155" s="8" t="s">
        <v>2029</v>
      </c>
      <c r="B155" s="8" t="s">
        <v>2028</v>
      </c>
      <c r="C155" s="8" t="s">
        <v>2030</v>
      </c>
      <c r="D155" s="8" t="s">
        <v>1382</v>
      </c>
      <c r="E155" s="8" t="s">
        <v>1383</v>
      </c>
      <c r="F155" s="8" t="s">
        <v>1384</v>
      </c>
      <c r="G155" s="8" t="s">
        <v>1385</v>
      </c>
      <c r="H155" s="8" t="s">
        <v>1905</v>
      </c>
      <c r="I155" s="8" t="s">
        <v>1205</v>
      </c>
      <c r="K155" s="23"/>
      <c r="L155" s="23"/>
      <c r="M155" s="23"/>
    </row>
    <row r="156" spans="1:13" ht="14.5" x14ac:dyDescent="0.35">
      <c r="A156" s="24">
        <f>COUNTIF('ZANGBA_Cleaned Data'!AVH:AVH,"1")</f>
        <v>2</v>
      </c>
      <c r="B156" s="24">
        <f>COUNTIF('ZANGBA_Cleaned Data'!AVI:AVI,"1")</f>
        <v>0</v>
      </c>
      <c r="C156" s="24">
        <f>COUNTIF('ZANGBA_Cleaned Data'!AVJ:AVJ,"1")</f>
        <v>2</v>
      </c>
      <c r="D156" s="24">
        <f>COUNTIF('ZANGBA_Cleaned Data'!AVK:AVK,"1")</f>
        <v>1</v>
      </c>
      <c r="E156" s="24">
        <f>COUNTIF('ZANGBA_Cleaned Data'!AVL:AVL,"1")</f>
        <v>1</v>
      </c>
      <c r="F156" s="24">
        <f>COUNTIF('ZANGBA_Cleaned Data'!AVM:AVM,"1")</f>
        <v>0</v>
      </c>
      <c r="G156" s="24">
        <f>COUNTIF('ZANGBA_Cleaned Data'!AVN:AVN,"1")</f>
        <v>3</v>
      </c>
      <c r="H156" s="24">
        <f>COUNTIF('ZANGBA_Cleaned Data'!AVO:AVO,"1")</f>
        <v>0</v>
      </c>
      <c r="I156" s="24">
        <f>COUNTIF('ZANGBA_Cleaned Data'!AVP:AVP,"1")</f>
        <v>0</v>
      </c>
      <c r="J156"/>
      <c r="K156" s="23"/>
      <c r="L156" s="23"/>
      <c r="M156" s="23"/>
    </row>
    <row r="157" spans="1:13" x14ac:dyDescent="0.3">
      <c r="I157" s="74"/>
    </row>
  </sheetData>
  <conditionalFormatting sqref="C35:F35">
    <cfRule type="colorScale" priority="34">
      <colorScale>
        <cfvo type="min"/>
        <cfvo type="max"/>
        <color theme="6" tint="0.79998168889431442"/>
        <color theme="5" tint="0.39997558519241921"/>
      </colorScale>
    </cfRule>
  </conditionalFormatting>
  <conditionalFormatting sqref="C40:M40">
    <cfRule type="colorScale" priority="33">
      <colorScale>
        <cfvo type="min"/>
        <cfvo type="max"/>
        <color theme="6" tint="0.79998168889431442"/>
        <color theme="5" tint="0.39997558519241921"/>
      </colorScale>
    </cfRule>
  </conditionalFormatting>
  <conditionalFormatting sqref="B61:J61">
    <cfRule type="colorScale" priority="32">
      <colorScale>
        <cfvo type="min"/>
        <cfvo type="max"/>
        <color theme="6" tint="0.79998168889431442"/>
        <color theme="5" tint="0.39997558519241921"/>
      </colorScale>
    </cfRule>
  </conditionalFormatting>
  <conditionalFormatting sqref="B68:E68 C66:H66">
    <cfRule type="colorScale" priority="31">
      <colorScale>
        <cfvo type="min"/>
        <cfvo type="max"/>
        <color theme="6" tint="0.79998168889431442"/>
        <color theme="5" tint="0.39997558519241921"/>
      </colorScale>
    </cfRule>
  </conditionalFormatting>
  <conditionalFormatting sqref="B68:G68 C66:H66">
    <cfRule type="colorScale" priority="30">
      <colorScale>
        <cfvo type="min"/>
        <cfvo type="max"/>
        <color theme="6" tint="0.79998168889431442"/>
        <color theme="5" tint="0.39997558519241921"/>
      </colorScale>
    </cfRule>
  </conditionalFormatting>
  <conditionalFormatting sqref="B77:I77">
    <cfRule type="colorScale" priority="29">
      <colorScale>
        <cfvo type="min"/>
        <cfvo type="max"/>
        <color theme="6" tint="0.79998168889431442"/>
        <color theme="5" tint="0.39997558519241921"/>
      </colorScale>
    </cfRule>
  </conditionalFormatting>
  <conditionalFormatting sqref="C82:F82">
    <cfRule type="colorScale" priority="28">
      <colorScale>
        <cfvo type="min"/>
        <cfvo type="max"/>
        <color theme="6" tint="0.79998168889431442"/>
        <color theme="5" tint="0.39997558519241921"/>
      </colorScale>
    </cfRule>
  </conditionalFormatting>
  <conditionalFormatting sqref="C82:H82">
    <cfRule type="colorScale" priority="27">
      <colorScale>
        <cfvo type="min"/>
        <cfvo type="max"/>
        <color theme="6" tint="0.79998168889431442"/>
        <color theme="5" tint="0.39997558519241921"/>
      </colorScale>
    </cfRule>
  </conditionalFormatting>
  <conditionalFormatting sqref="C98:F98">
    <cfRule type="colorScale" priority="26">
      <colorScale>
        <cfvo type="min"/>
        <cfvo type="max"/>
        <color theme="6" tint="0.79998168889431442"/>
        <color theme="5" tint="0.39997558519241921"/>
      </colorScale>
    </cfRule>
  </conditionalFormatting>
  <conditionalFormatting sqref="C103:I103">
    <cfRule type="colorScale" priority="25">
      <colorScale>
        <cfvo type="min"/>
        <cfvo type="max"/>
        <color theme="6" tint="0.79998168889431442"/>
        <color theme="5" tint="0.39997558519241921"/>
      </colorScale>
    </cfRule>
  </conditionalFormatting>
  <conditionalFormatting sqref="B55:L55">
    <cfRule type="colorScale" priority="24">
      <colorScale>
        <cfvo type="min"/>
        <cfvo type="max"/>
        <color theme="6" tint="0.79998168889431442"/>
        <color theme="5" tint="0.39997558519241921"/>
      </colorScale>
    </cfRule>
  </conditionalFormatting>
  <conditionalFormatting sqref="B128:H128">
    <cfRule type="colorScale" priority="23">
      <colorScale>
        <cfvo type="min"/>
        <cfvo type="max"/>
        <color theme="6" tint="0.79998168889431442"/>
        <color theme="5" tint="0.39997558519241921"/>
      </colorScale>
    </cfRule>
  </conditionalFormatting>
  <conditionalFormatting sqref="B138:F138">
    <cfRule type="colorScale" priority="22">
      <colorScale>
        <cfvo type="min"/>
        <cfvo type="max"/>
        <color theme="6" tint="0.79998168889431442"/>
        <color theme="5" tint="0.39997558519241921"/>
      </colorScale>
    </cfRule>
  </conditionalFormatting>
  <conditionalFormatting sqref="A147:L147">
    <cfRule type="colorScale" priority="21">
      <colorScale>
        <cfvo type="min"/>
        <cfvo type="max"/>
        <color theme="6" tint="0.79998168889431442"/>
        <color theme="5" tint="0.39997558519241921"/>
      </colorScale>
    </cfRule>
  </conditionalFormatting>
  <conditionalFormatting sqref="A143:P143 A144:O144">
    <cfRule type="colorScale" priority="20">
      <colorScale>
        <cfvo type="min"/>
        <cfvo type="max"/>
        <color theme="6" tint="0.79998168889431442"/>
        <color theme="5" tint="0.39997558519241921"/>
      </colorScale>
    </cfRule>
  </conditionalFormatting>
  <conditionalFormatting sqref="A156:I156">
    <cfRule type="colorScale" priority="19">
      <colorScale>
        <cfvo type="min"/>
        <cfvo type="max"/>
        <color theme="6" tint="0.79998168889431442"/>
        <color theme="5" tint="0.39997558519241921"/>
      </colorScale>
    </cfRule>
  </conditionalFormatting>
  <conditionalFormatting sqref="B7:D7">
    <cfRule type="colorScale" priority="18">
      <colorScale>
        <cfvo type="min"/>
        <cfvo type="max"/>
        <color theme="6" tint="0.79998168889431442"/>
        <color theme="5" tint="0.39997558519241921"/>
      </colorScale>
    </cfRule>
  </conditionalFormatting>
  <conditionalFormatting sqref="B12:C12">
    <cfRule type="colorScale" priority="17">
      <colorScale>
        <cfvo type="min"/>
        <cfvo type="max"/>
        <color theme="6" tint="0.79998168889431442"/>
        <color theme="5" tint="0.39997558519241921"/>
      </colorScale>
    </cfRule>
  </conditionalFormatting>
  <conditionalFormatting sqref="C17:D17">
    <cfRule type="colorScale" priority="16">
      <colorScale>
        <cfvo type="min"/>
        <cfvo type="max"/>
        <color theme="6" tint="0.79998168889431442"/>
        <color theme="5" tint="0.39997558519241921"/>
      </colorScale>
    </cfRule>
  </conditionalFormatting>
  <conditionalFormatting sqref="B22:I22">
    <cfRule type="colorScale" priority="15">
      <colorScale>
        <cfvo type="min"/>
        <cfvo type="max"/>
        <color theme="6" tint="0.79998168889431442"/>
        <color theme="5" tint="0.39997558519241921"/>
      </colorScale>
    </cfRule>
  </conditionalFormatting>
  <conditionalFormatting sqref="B30:C30">
    <cfRule type="colorScale" priority="14">
      <colorScale>
        <cfvo type="min"/>
        <cfvo type="max"/>
        <color theme="6" tint="0.79998168889431442"/>
        <color theme="5" tint="0.39997558519241921"/>
      </colorScale>
    </cfRule>
  </conditionalFormatting>
  <conditionalFormatting sqref="B50:C50">
    <cfRule type="colorScale" priority="13">
      <colorScale>
        <cfvo type="min"/>
        <cfvo type="max"/>
        <color theme="6" tint="0.79998168889431442"/>
        <color theme="5" tint="0.39997558519241921"/>
      </colorScale>
    </cfRule>
  </conditionalFormatting>
  <conditionalFormatting sqref="C71:F71">
    <cfRule type="colorScale" priority="12">
      <colorScale>
        <cfvo type="min"/>
        <cfvo type="max"/>
        <color theme="6" tint="0.79998168889431442"/>
        <color theme="5" tint="0.39997558519241921"/>
      </colorScale>
    </cfRule>
  </conditionalFormatting>
  <conditionalFormatting sqref="C71:G71">
    <cfRule type="colorScale" priority="11">
      <colorScale>
        <cfvo type="min"/>
        <cfvo type="max"/>
        <color theme="6" tint="0.79998168889431442"/>
        <color theme="5" tint="0.39997558519241921"/>
      </colorScale>
    </cfRule>
  </conditionalFormatting>
  <conditionalFormatting sqref="C87:F87">
    <cfRule type="colorScale" priority="10">
      <colorScale>
        <cfvo type="min"/>
        <cfvo type="max"/>
        <color theme="6" tint="0.79998168889431442"/>
        <color theme="5" tint="0.39997558519241921"/>
      </colorScale>
    </cfRule>
  </conditionalFormatting>
  <conditionalFormatting sqref="C87:G87">
    <cfRule type="colorScale" priority="9">
      <colorScale>
        <cfvo type="min"/>
        <cfvo type="max"/>
        <color theme="6" tint="0.79998168889431442"/>
        <color theme="5" tint="0.39997558519241921"/>
      </colorScale>
    </cfRule>
  </conditionalFormatting>
  <conditionalFormatting sqref="B93:C93">
    <cfRule type="colorScale" priority="8">
      <colorScale>
        <cfvo type="min"/>
        <cfvo type="max"/>
        <color theme="6" tint="0.79998168889431442"/>
        <color theme="5" tint="0.39997558519241921"/>
      </colorScale>
    </cfRule>
  </conditionalFormatting>
  <conditionalFormatting sqref="B93:C93">
    <cfRule type="colorScale" priority="7">
      <colorScale>
        <cfvo type="min"/>
        <cfvo type="max"/>
        <color theme="6" tint="0.79998168889431442"/>
        <color theme="5" tint="0.39997558519241921"/>
      </colorScale>
    </cfRule>
  </conditionalFormatting>
  <conditionalFormatting sqref="B114:G114">
    <cfRule type="colorScale" priority="6">
      <colorScale>
        <cfvo type="min"/>
        <cfvo type="max"/>
        <color theme="6" tint="0.79998168889431442"/>
        <color theme="5" tint="0.39997558519241921"/>
      </colorScale>
    </cfRule>
  </conditionalFormatting>
  <conditionalFormatting sqref="B133:C133">
    <cfRule type="colorScale" priority="5">
      <colorScale>
        <cfvo type="min"/>
        <cfvo type="max"/>
        <color theme="6" tint="0.79998168889431442"/>
        <color theme="5" tint="0.39997558519241921"/>
      </colorScale>
    </cfRule>
  </conditionalFormatting>
  <conditionalFormatting sqref="B151:C151">
    <cfRule type="colorScale" priority="4">
      <colorScale>
        <cfvo type="min"/>
        <cfvo type="max"/>
        <color theme="6" tint="0.79998168889431442"/>
        <color theme="5" tint="0.39997558519241921"/>
      </colorScale>
    </cfRule>
  </conditionalFormatting>
  <conditionalFormatting sqref="C45:K45">
    <cfRule type="colorScale" priority="3">
      <colorScale>
        <cfvo type="min"/>
        <cfvo type="max"/>
        <color theme="6" tint="0.79998168889431442"/>
        <color theme="5" tint="0.39997558519241921"/>
      </colorScale>
    </cfRule>
  </conditionalFormatting>
  <conditionalFormatting sqref="C108:I108">
    <cfRule type="colorScale" priority="2">
      <colorScale>
        <cfvo type="min"/>
        <cfvo type="max"/>
        <color theme="6" tint="0.79998168889431442"/>
        <color theme="5" tint="0.39997558519241921"/>
      </colorScale>
    </cfRule>
  </conditionalFormatting>
  <conditionalFormatting sqref="P14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9</vt:i4>
      </vt:variant>
    </vt:vector>
  </HeadingPairs>
  <TitlesOfParts>
    <vt:vector size="42" baseType="lpstr">
      <vt:lpstr>Lisez-moi</vt:lpstr>
      <vt:lpstr>CleaningLog</vt:lpstr>
      <vt:lpstr>ALINDAO_Cleaned Data</vt:lpstr>
      <vt:lpstr>ALINDAO_EAU</vt:lpstr>
      <vt:lpstr>ALINDAO_HYGIENE</vt:lpstr>
      <vt:lpstr>ALINDAO_SANTE</vt:lpstr>
      <vt:lpstr>ALINDAO_EDUCATION</vt:lpstr>
      <vt:lpstr>ALINDAO_MARCHES</vt:lpstr>
      <vt:lpstr>MINGALA_Cleaned Data</vt:lpstr>
      <vt:lpstr>MINGALA_EAU </vt:lpstr>
      <vt:lpstr>MINGALA_SANTE</vt:lpstr>
      <vt:lpstr>MINGALA_EDUCATION</vt:lpstr>
      <vt:lpstr>MINGALA_MARCHES</vt:lpstr>
      <vt:lpstr>KEMBE_Cleaned Data</vt:lpstr>
      <vt:lpstr>KEMBE_EAU</vt:lpstr>
      <vt:lpstr>KEMBE_SANTE</vt:lpstr>
      <vt:lpstr>KEMBE_EDUCATION</vt:lpstr>
      <vt:lpstr>KEMBE_MARCHES</vt:lpstr>
      <vt:lpstr>SATEMA_Cleaned Data</vt:lpstr>
      <vt:lpstr>SATEMA_EAU</vt:lpstr>
      <vt:lpstr>SATEMA_SANTE</vt:lpstr>
      <vt:lpstr>SATEMA_EDUCATION </vt:lpstr>
      <vt:lpstr>SATEMA_MARCHES</vt:lpstr>
      <vt:lpstr>MOBAYE_Cleaned Data</vt:lpstr>
      <vt:lpstr>MOBAYE_EAU</vt:lpstr>
      <vt:lpstr>MOBAYE_SANTE</vt:lpstr>
      <vt:lpstr>MOBAYE_EDUCATION</vt:lpstr>
      <vt:lpstr>MOBAYE_MARCHES</vt:lpstr>
      <vt:lpstr>ZANGBA_Cleaned Data</vt:lpstr>
      <vt:lpstr>ZANGBA_EAU</vt:lpstr>
      <vt:lpstr>ZANGBA_SANTE</vt:lpstr>
      <vt:lpstr>ZANGBA_EDUCATION</vt:lpstr>
      <vt:lpstr>ZANGBA_MARCHES</vt:lpstr>
      <vt:lpstr>marches_frequentation_changement</vt:lpstr>
      <vt:lpstr>marches_frequentation_evolution</vt:lpstr>
      <vt:lpstr>marches_taxes_transport</vt:lpstr>
      <vt:lpstr>ALINDAO_EDUCATION!Print_Area</vt:lpstr>
      <vt:lpstr>KEMBE_EDUCATION!Print_Area</vt:lpstr>
      <vt:lpstr>MINGALA_EDUCATION!Print_Area</vt:lpstr>
      <vt:lpstr>MOBAYE_EDUCATION!Print_Area</vt:lpstr>
      <vt:lpstr>'SATEMA_EDUCATION '!Print_Area</vt:lpstr>
      <vt:lpstr>ZANGBA_EDUCATION!Print_Area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Amelie Salmon</dc:creator>
  <cp:lastModifiedBy>Amelie Salmon</cp:lastModifiedBy>
  <cp:lastPrinted>2020-08-19T13:55:45Z</cp:lastPrinted>
  <dcterms:created xsi:type="dcterms:W3CDTF">2020-07-22T09:34:44Z</dcterms:created>
  <dcterms:modified xsi:type="dcterms:W3CDTF">2020-12-14T09:04:23Z</dcterms:modified>
</cp:coreProperties>
</file>